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2"/>
  </bookViews>
  <sheets>
    <sheet name="Plano_V1" sheetId="19" state="hidden" r:id="rId1"/>
    <sheet name="1. Status Resumo FY24" sheetId="15" r:id="rId2"/>
    <sheet name="2. Status Detalhe Campos FY24" sheetId="17" r:id="rId3"/>
    <sheet name="Aux - pivots1" sheetId="14" state="hidden" r:id="rId4"/>
    <sheet name="Aux - Pivots2" sheetId="18" state="hidden" r:id="rId5"/>
    <sheet name="Caderno Testes FY24" sheetId="1" r:id="rId6"/>
    <sheet name="2. Controlos Corporativos - GD" sheetId="4" state="hidden" r:id="rId7"/>
    <sheet name="Auxiliar" sheetId="3" state="hidden" r:id="rId8"/>
    <sheet name="Plano Campos" sheetId="21" r:id="rId9"/>
    <sheet name="Plano_V3" sheetId="20" r:id="rId10"/>
    <sheet name="Plano de Testes" sheetId="22" state="hidden" r:id="rId11"/>
  </sheets>
  <definedNames>
    <definedName name="_xlnm._FilterDatabase" localSheetId="6" hidden="1">'2. Controlos Corporativos - GD'!$A$1:$K$222</definedName>
    <definedName name="_xlnm._FilterDatabase" localSheetId="2" hidden="1">'2. Status Detalhe Campos FY24'!$A$6:$J$716</definedName>
    <definedName name="_xlnm._FilterDatabase" localSheetId="5"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8" r:id="rId12"/>
    <pivotCache cacheId="121" r:id="rId13"/>
    <pivotCache cacheId="124" r:id="rId14"/>
    <pivotCache cacheId="127" r:id="rId15"/>
    <pivotCache cacheId="130" r:id="rId16"/>
    <pivotCache cacheId="133" r:id="rId17"/>
    <pivotCache cacheId="136" r:id="rId18"/>
    <pivotCache cacheId="142"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613" i="17" l="1"/>
  <c r="J613" i="17" s="1"/>
  <c r="A612" i="17"/>
  <c r="G612" i="17" s="1"/>
  <c r="A611" i="17"/>
  <c r="J611" i="17" s="1"/>
  <c r="A610" i="17"/>
  <c r="K610" i="17" s="1"/>
  <c r="A609" i="17"/>
  <c r="G609" i="17" s="1"/>
  <c r="A608" i="17"/>
  <c r="K608" i="17" s="1"/>
  <c r="A607" i="17"/>
  <c r="J607" i="17" s="1"/>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G714" i="20" s="1"/>
  <c r="H713" i="20"/>
  <c r="G713" i="20" s="1"/>
  <c r="H712" i="20"/>
  <c r="G712" i="20" s="1"/>
  <c r="H710" i="20"/>
  <c r="G710" i="20" s="1"/>
  <c r="H709" i="20"/>
  <c r="G709" i="20" s="1"/>
  <c r="H708" i="20"/>
  <c r="G708" i="20" s="1"/>
  <c r="A714" i="20"/>
  <c r="A713" i="20"/>
  <c r="A712" i="20"/>
  <c r="A711" i="20"/>
  <c r="H711" i="20" s="1"/>
  <c r="G711" i="20" s="1"/>
  <c r="A710" i="20"/>
  <c r="A709" i="20"/>
  <c r="A708" i="20"/>
  <c r="A748" i="20"/>
  <c r="A687" i="17"/>
  <c r="W1499" i="1"/>
  <c r="K748" i="20" s="1"/>
  <c r="L748" i="20" s="1"/>
  <c r="J1499" i="1"/>
  <c r="H1499" i="1"/>
  <c r="I748" i="20"/>
  <c r="J748" i="20" s="1"/>
  <c r="H748" i="20"/>
  <c r="G748" i="20" s="1"/>
  <c r="A713" i="17"/>
  <c r="L713" i="17" s="1"/>
  <c r="A712" i="17"/>
  <c r="J712" i="17" s="1"/>
  <c r="A711" i="17"/>
  <c r="K711" i="17" s="1"/>
  <c r="A710" i="17"/>
  <c r="K710" i="17" s="1"/>
  <c r="A709" i="17"/>
  <c r="J709" i="17" s="1"/>
  <c r="A708" i="17"/>
  <c r="J708" i="17" s="1"/>
  <c r="A707" i="17"/>
  <c r="J707" i="17" s="1"/>
  <c r="A706" i="17"/>
  <c r="J706" i="17" s="1"/>
  <c r="A705" i="17"/>
  <c r="K705" i="17" s="1"/>
  <c r="A704" i="17"/>
  <c r="J704" i="17" s="1"/>
  <c r="A703" i="17"/>
  <c r="K703" i="17" s="1"/>
  <c r="A702" i="17"/>
  <c r="J702" i="17" s="1"/>
  <c r="A701" i="17"/>
  <c r="K701" i="17" s="1"/>
  <c r="A700" i="17"/>
  <c r="J700" i="17" s="1"/>
  <c r="A699" i="17"/>
  <c r="J699" i="17" s="1"/>
  <c r="A698" i="17"/>
  <c r="J698" i="17" s="1"/>
  <c r="A697" i="17"/>
  <c r="K697" i="17" s="1"/>
  <c r="A696" i="17"/>
  <c r="K696" i="17" s="1"/>
  <c r="A695" i="17"/>
  <c r="K695" i="17" s="1"/>
  <c r="A694" i="17"/>
  <c r="L694" i="17" s="1"/>
  <c r="A693" i="17"/>
  <c r="K693" i="17" s="1"/>
  <c r="A692" i="17"/>
  <c r="A691" i="17"/>
  <c r="J691" i="17" s="1"/>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7" i="20"/>
  <c r="G637" i="20" s="1"/>
  <c r="H636" i="20"/>
  <c r="G636" i="20" s="1"/>
  <c r="I635" i="20"/>
  <c r="J635" i="20" s="1"/>
  <c r="H635" i="20"/>
  <c r="G635" i="20" s="1"/>
  <c r="H634" i="20"/>
  <c r="G634" i="20" s="1"/>
  <c r="H633" i="20"/>
  <c r="G633" i="20" s="1"/>
  <c r="H632" i="20"/>
  <c r="G632" i="20" s="1"/>
  <c r="H631" i="20"/>
  <c r="G631" i="20" s="1"/>
  <c r="H630" i="20"/>
  <c r="G630" i="20" s="1"/>
  <c r="H629" i="20"/>
  <c r="G629" i="20" s="1"/>
  <c r="H628" i="20"/>
  <c r="G628" i="20" s="1"/>
  <c r="H627" i="20"/>
  <c r="G627" i="20" s="1"/>
  <c r="H626" i="20"/>
  <c r="G626" i="20" s="1"/>
  <c r="H625" i="20"/>
  <c r="G625" i="20" s="1"/>
  <c r="H624" i="20"/>
  <c r="G624" i="20" s="1"/>
  <c r="H623" i="20"/>
  <c r="G623" i="20" s="1"/>
  <c r="H622" i="20"/>
  <c r="G622" i="20" s="1"/>
  <c r="H621" i="20"/>
  <c r="G621" i="20" s="1"/>
  <c r="H620" i="20"/>
  <c r="G620" i="20" s="1"/>
  <c r="H619" i="20"/>
  <c r="G619" i="20" s="1"/>
  <c r="H618" i="20"/>
  <c r="G618" i="20" s="1"/>
  <c r="H617" i="20"/>
  <c r="G617" i="20" s="1"/>
  <c r="H616" i="20"/>
  <c r="G616"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I713" i="20" l="1"/>
  <c r="J713" i="20" s="1"/>
  <c r="I710" i="20"/>
  <c r="J710" i="20" s="1"/>
  <c r="N710" i="20" s="1"/>
  <c r="G611" i="17"/>
  <c r="L612" i="17"/>
  <c r="L611" i="17"/>
  <c r="G694" i="17"/>
  <c r="G702" i="17"/>
  <c r="K611" i="17"/>
  <c r="J710" i="17"/>
  <c r="I711" i="20"/>
  <c r="J711" i="20" s="1"/>
  <c r="N711" i="20" s="1"/>
  <c r="I708" i="20"/>
  <c r="J708" i="20" s="1"/>
  <c r="N708" i="20" s="1"/>
  <c r="I615" i="20"/>
  <c r="J615" i="20" s="1"/>
  <c r="N615" i="20" s="1"/>
  <c r="I714" i="20"/>
  <c r="J714" i="20" s="1"/>
  <c r="N714" i="20" s="1"/>
  <c r="J610" i="17"/>
  <c r="K612" i="17"/>
  <c r="J612" i="17"/>
  <c r="L696" i="17"/>
  <c r="L702" i="17"/>
  <c r="K702" i="17"/>
  <c r="G701" i="17"/>
  <c r="G710" i="17"/>
  <c r="L710" i="17"/>
  <c r="J694" i="17"/>
  <c r="L610" i="17"/>
  <c r="K694" i="17"/>
  <c r="G610" i="17"/>
  <c r="I709" i="20"/>
  <c r="J709" i="20" s="1"/>
  <c r="N709" i="20" s="1"/>
  <c r="I712" i="20"/>
  <c r="J712" i="20" s="1"/>
  <c r="N712" i="20" s="1"/>
  <c r="J696" i="17"/>
  <c r="G696" i="17"/>
  <c r="L704" i="17"/>
  <c r="G704" i="17"/>
  <c r="L712" i="17"/>
  <c r="K704" i="17"/>
  <c r="G712" i="17"/>
  <c r="K712" i="17"/>
  <c r="J711" i="17"/>
  <c r="G699" i="17"/>
  <c r="G713" i="17"/>
  <c r="G695" i="17"/>
  <c r="K708" i="17"/>
  <c r="K613" i="17"/>
  <c r="G613" i="17"/>
  <c r="L613" i="17"/>
  <c r="G608" i="17"/>
  <c r="L609" i="17"/>
  <c r="K609" i="17"/>
  <c r="J609" i="17"/>
  <c r="L608" i="17"/>
  <c r="G607" i="17"/>
  <c r="J608" i="17"/>
  <c r="L607" i="17"/>
  <c r="K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N713" i="20"/>
  <c r="I618" i="20"/>
  <c r="J618" i="20" s="1"/>
  <c r="N618" i="20" s="1"/>
  <c r="I616" i="20"/>
  <c r="J616" i="20" s="1"/>
  <c r="N616" i="20" s="1"/>
  <c r="I632" i="20"/>
  <c r="J632" i="20" s="1"/>
  <c r="N632" i="20" s="1"/>
  <c r="I624" i="20"/>
  <c r="J624" i="20" s="1"/>
  <c r="N624" i="20" s="1"/>
  <c r="I623" i="20"/>
  <c r="J623" i="20" s="1"/>
  <c r="N623" i="20" s="1"/>
  <c r="K700" i="17"/>
  <c r="G708" i="17"/>
  <c r="G711" i="17"/>
  <c r="L709" i="17"/>
  <c r="L703" i="17"/>
  <c r="L695" i="17"/>
  <c r="G709" i="17"/>
  <c r="K709" i="17"/>
  <c r="J703" i="17"/>
  <c r="L711" i="17"/>
  <c r="G703" i="17"/>
  <c r="L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G692" i="17"/>
  <c r="K713" i="17"/>
  <c r="J713" i="17"/>
  <c r="G705" i="17"/>
  <c r="L692" i="17"/>
  <c r="J697" i="17"/>
  <c r="G706" i="17"/>
  <c r="J693" i="17"/>
  <c r="K698" i="17"/>
  <c r="L698" i="17"/>
  <c r="L701" i="17"/>
  <c r="G698" i="17"/>
  <c r="G707" i="17"/>
  <c r="L706" i="17"/>
  <c r="K706" i="17"/>
  <c r="J701" i="17"/>
  <c r="G700" i="17"/>
  <c r="G697" i="17"/>
  <c r="K692" i="17"/>
  <c r="L693" i="17"/>
  <c r="L705" i="17"/>
  <c r="J705" i="17"/>
  <c r="L700" i="17"/>
  <c r="L697" i="17"/>
  <c r="J695" i="17"/>
  <c r="G693" i="17"/>
  <c r="G691" i="17"/>
  <c r="J692" i="17"/>
  <c r="L699" i="17"/>
  <c r="L691" i="17"/>
  <c r="L707" i="17"/>
  <c r="K707" i="17"/>
  <c r="K699" i="17"/>
  <c r="K691" i="17"/>
  <c r="N635" i="20"/>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A588" i="20"/>
  <c r="H588" i="20" s="1"/>
  <c r="G588" i="20" s="1"/>
  <c r="A587" i="20"/>
  <c r="A586" i="20"/>
  <c r="A585" i="20"/>
  <c r="A584" i="20"/>
  <c r="H584" i="20" s="1"/>
  <c r="G584" i="20" s="1"/>
  <c r="A583" i="20"/>
  <c r="A582" i="20"/>
  <c r="A581" i="20"/>
  <c r="A580" i="20"/>
  <c r="H580" i="20" s="1"/>
  <c r="G580" i="20" s="1"/>
  <c r="A579" i="20"/>
  <c r="H602" i="20"/>
  <c r="G602" i="20" s="1"/>
  <c r="H599" i="20"/>
  <c r="G599" i="20" s="1"/>
  <c r="H598" i="20"/>
  <c r="G598" i="20" s="1"/>
  <c r="H595" i="20"/>
  <c r="G595" i="20" s="1"/>
  <c r="H594" i="20"/>
  <c r="G594" i="20" s="1"/>
  <c r="H591" i="20"/>
  <c r="G591" i="20" s="1"/>
  <c r="H590" i="20"/>
  <c r="G590" i="20" s="1"/>
  <c r="H589" i="20"/>
  <c r="G589" i="20" s="1"/>
  <c r="H587" i="20"/>
  <c r="G587" i="20" s="1"/>
  <c r="H586" i="20"/>
  <c r="G586" i="20" s="1"/>
  <c r="H585" i="20"/>
  <c r="G585" i="20" s="1"/>
  <c r="H583" i="20"/>
  <c r="G583" i="20" s="1"/>
  <c r="H582" i="20"/>
  <c r="G582" i="20" s="1"/>
  <c r="H581" i="20"/>
  <c r="G581" i="20" s="1"/>
  <c r="H579" i="20"/>
  <c r="G579" i="20" s="1"/>
  <c r="H1436" i="1"/>
  <c r="J1436" i="1"/>
  <c r="O1436" i="1"/>
  <c r="I580" i="20" s="1"/>
  <c r="J580" i="20" s="1"/>
  <c r="H1437" i="1"/>
  <c r="J1437" i="1"/>
  <c r="O1437" i="1"/>
  <c r="I581" i="20" s="1"/>
  <c r="J581" i="20" s="1"/>
  <c r="H1438" i="1"/>
  <c r="J1438" i="1"/>
  <c r="O1438" i="1"/>
  <c r="I582" i="20" s="1"/>
  <c r="J582" i="20" s="1"/>
  <c r="H1439" i="1"/>
  <c r="J1439" i="1"/>
  <c r="O1439" i="1"/>
  <c r="W1439" i="1" s="1"/>
  <c r="K583" i="20" s="1"/>
  <c r="L583" i="20" s="1"/>
  <c r="H1440" i="1"/>
  <c r="J1440" i="1"/>
  <c r="O1440" i="1"/>
  <c r="W1440" i="1" s="1"/>
  <c r="K584" i="20" s="1"/>
  <c r="L584" i="20" s="1"/>
  <c r="H1441" i="1"/>
  <c r="J1441" i="1"/>
  <c r="O1441" i="1"/>
  <c r="W1441" i="1" s="1"/>
  <c r="K585" i="20" s="1"/>
  <c r="L585" i="20" s="1"/>
  <c r="H1442" i="1"/>
  <c r="J1442" i="1"/>
  <c r="O1442" i="1"/>
  <c r="W1442" i="1" s="1"/>
  <c r="K586" i="20" s="1"/>
  <c r="L586" i="20" s="1"/>
  <c r="H1443" i="1"/>
  <c r="J1443" i="1"/>
  <c r="O1443" i="1"/>
  <c r="W1443" i="1" s="1"/>
  <c r="K587" i="20" s="1"/>
  <c r="L587" i="20" s="1"/>
  <c r="H1444" i="1"/>
  <c r="J1444" i="1"/>
  <c r="O1444" i="1"/>
  <c r="W1444" i="1" s="1"/>
  <c r="K588" i="20" s="1"/>
  <c r="L588" i="20" s="1"/>
  <c r="H1445" i="1"/>
  <c r="J1445" i="1"/>
  <c r="O1445" i="1"/>
  <c r="W1445" i="1" s="1"/>
  <c r="K589" i="20" s="1"/>
  <c r="L589" i="20" s="1"/>
  <c r="H1435" i="1"/>
  <c r="J1435" i="1"/>
  <c r="O1435" i="1"/>
  <c r="W1435" i="1" s="1"/>
  <c r="K579" i="20" s="1"/>
  <c r="L579" i="20" s="1"/>
  <c r="H1446" i="1"/>
  <c r="J1446" i="1"/>
  <c r="O1446" i="1"/>
  <c r="W1446" i="1" s="1"/>
  <c r="K590" i="20" s="1"/>
  <c r="L590" i="20" s="1"/>
  <c r="H1447" i="1"/>
  <c r="J1447" i="1"/>
  <c r="O1447" i="1"/>
  <c r="W1447" i="1" s="1"/>
  <c r="K591" i="20" s="1"/>
  <c r="L591" i="20" s="1"/>
  <c r="H1448" i="1"/>
  <c r="J1448" i="1"/>
  <c r="O1448" i="1"/>
  <c r="W1448" i="1" s="1"/>
  <c r="K592" i="20" s="1"/>
  <c r="L592" i="20" s="1"/>
  <c r="H1449" i="1"/>
  <c r="J1449" i="1"/>
  <c r="O1449" i="1"/>
  <c r="W1449" i="1" s="1"/>
  <c r="K593" i="20" s="1"/>
  <c r="L593" i="20" s="1"/>
  <c r="H1450" i="1"/>
  <c r="J1450" i="1"/>
  <c r="O1450" i="1"/>
  <c r="W1450" i="1" s="1"/>
  <c r="K594" i="20" s="1"/>
  <c r="L594" i="20" s="1"/>
  <c r="H1451" i="1"/>
  <c r="J1451" i="1"/>
  <c r="O1451" i="1"/>
  <c r="W1451" i="1" s="1"/>
  <c r="K595" i="20" s="1"/>
  <c r="L595" i="20" s="1"/>
  <c r="H1452" i="1"/>
  <c r="J1452" i="1"/>
  <c r="O1452" i="1"/>
  <c r="W1452" i="1" s="1"/>
  <c r="K596" i="20" s="1"/>
  <c r="L596" i="20" s="1"/>
  <c r="H1453" i="1"/>
  <c r="J1453" i="1"/>
  <c r="O1453" i="1"/>
  <c r="W1453" i="1" s="1"/>
  <c r="K597" i="20" s="1"/>
  <c r="L597" i="20" s="1"/>
  <c r="H1454" i="1"/>
  <c r="J1454" i="1"/>
  <c r="O1454" i="1"/>
  <c r="W1454" i="1" s="1"/>
  <c r="K598" i="20" s="1"/>
  <c r="L598" i="20" s="1"/>
  <c r="H1455" i="1"/>
  <c r="J1455" i="1"/>
  <c r="O1455" i="1"/>
  <c r="W1455" i="1" s="1"/>
  <c r="K599" i="20" s="1"/>
  <c r="L599" i="20" s="1"/>
  <c r="H1456" i="1"/>
  <c r="J1456" i="1"/>
  <c r="O1456" i="1"/>
  <c r="W1456" i="1" s="1"/>
  <c r="K600" i="20" s="1"/>
  <c r="L600" i="20" s="1"/>
  <c r="H1457" i="1"/>
  <c r="J1457" i="1"/>
  <c r="O1457" i="1"/>
  <c r="W1457" i="1" s="1"/>
  <c r="K601" i="20" s="1"/>
  <c r="L601" i="20" s="1"/>
  <c r="H1458" i="1"/>
  <c r="J1458" i="1"/>
  <c r="O1458" i="1"/>
  <c r="W1458" i="1" s="1"/>
  <c r="K602" i="20" s="1"/>
  <c r="L602" i="20" s="1"/>
  <c r="A669" i="17"/>
  <c r="A668" i="17"/>
  <c r="A667" i="17"/>
  <c r="J667" i="17" s="1"/>
  <c r="A666" i="17"/>
  <c r="A665" i="17"/>
  <c r="J665" i="17" s="1"/>
  <c r="A664" i="17"/>
  <c r="K664" i="17" s="1"/>
  <c r="A663" i="17"/>
  <c r="J663" i="17" s="1"/>
  <c r="A662" i="17"/>
  <c r="K662" i="17" s="1"/>
  <c r="A661" i="17"/>
  <c r="J661" i="17" s="1"/>
  <c r="A660" i="17"/>
  <c r="J660" i="17" s="1"/>
  <c r="A659" i="17"/>
  <c r="J659" i="17" s="1"/>
  <c r="A658" i="17"/>
  <c r="K658" i="17" s="1"/>
  <c r="A657" i="17"/>
  <c r="K657" i="17" s="1"/>
  <c r="A656" i="17"/>
  <c r="J656" i="17" s="1"/>
  <c r="A655" i="17"/>
  <c r="J655" i="17" s="1"/>
  <c r="A654" i="17"/>
  <c r="L654" i="17" s="1"/>
  <c r="A653" i="17"/>
  <c r="J653" i="17" s="1"/>
  <c r="A652" i="17"/>
  <c r="J652" i="17" s="1"/>
  <c r="A651" i="17"/>
  <c r="J651" i="17" s="1"/>
  <c r="A650" i="17"/>
  <c r="K650" i="17" s="1"/>
  <c r="A649" i="17"/>
  <c r="J649" i="17" s="1"/>
  <c r="A648" i="17"/>
  <c r="J648" i="17" s="1"/>
  <c r="A647" i="17"/>
  <c r="J647" i="17" s="1"/>
  <c r="A646" i="17"/>
  <c r="A645" i="17"/>
  <c r="A644" i="17"/>
  <c r="K667" i="17"/>
  <c r="J666" i="17"/>
  <c r="J657" i="17" l="1"/>
  <c r="I583" i="20"/>
  <c r="J583" i="20" s="1"/>
  <c r="N583" i="20" s="1"/>
  <c r="L664" i="17"/>
  <c r="L657" i="17"/>
  <c r="L649" i="17"/>
  <c r="K649" i="17"/>
  <c r="J662" i="17"/>
  <c r="L648" i="17"/>
  <c r="K648" i="17"/>
  <c r="J664" i="17"/>
  <c r="J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L653" i="17"/>
  <c r="L647" i="17"/>
  <c r="L660" i="17"/>
  <c r="K647" i="17"/>
  <c r="K660" i="17"/>
  <c r="K661" i="17"/>
  <c r="L661" i="17"/>
  <c r="K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L650" i="17"/>
  <c r="L662" i="17"/>
  <c r="L652" i="17"/>
  <c r="L665" i="17"/>
  <c r="K654" i="17"/>
  <c r="L658" i="17"/>
  <c r="L646" i="17"/>
  <c r="K665" i="17"/>
  <c r="J658" i="17"/>
  <c r="J654" i="17"/>
  <c r="K646" i="17"/>
  <c r="J646" i="17"/>
  <c r="L656" i="17"/>
  <c r="K652" i="17"/>
  <c r="L667" i="17"/>
  <c r="L663" i="17"/>
  <c r="K663" i="17"/>
  <c r="K656" i="17"/>
  <c r="L666" i="17"/>
  <c r="L655" i="17"/>
  <c r="K666" i="17"/>
  <c r="K659" i="17"/>
  <c r="K655" i="17"/>
  <c r="K651" i="17"/>
  <c r="L659" i="17"/>
  <c r="L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H1306" i="1"/>
  <c r="J1306" i="1"/>
  <c r="O1306" i="1"/>
  <c r="W1306" i="1" s="1"/>
  <c r="K661" i="20" s="1"/>
  <c r="L661" i="20" s="1"/>
  <c r="H1307" i="1"/>
  <c r="J1307" i="1"/>
  <c r="O1307" i="1"/>
  <c r="W1307" i="1" s="1"/>
  <c r="K662" i="20" s="1"/>
  <c r="L662" i="20" s="1"/>
  <c r="H662" i="20"/>
  <c r="G662" i="20" s="1"/>
  <c r="H661" i="20"/>
  <c r="G661" i="20" s="1"/>
  <c r="K660" i="20"/>
  <c r="L660" i="20" s="1"/>
  <c r="H660" i="20"/>
  <c r="G660" i="20" s="1"/>
  <c r="H659" i="20"/>
  <c r="G659" i="20" s="1"/>
  <c r="H658" i="20"/>
  <c r="G658" i="20" s="1"/>
  <c r="H657" i="20"/>
  <c r="G657" i="20" s="1"/>
  <c r="H656" i="20"/>
  <c r="G656" i="20" s="1"/>
  <c r="H655" i="20"/>
  <c r="G655" i="20" s="1"/>
  <c r="H654" i="20"/>
  <c r="G654" i="20" s="1"/>
  <c r="H653" i="20"/>
  <c r="G653" i="20" s="1"/>
  <c r="K652" i="20"/>
  <c r="L652" i="20" s="1"/>
  <c r="H652" i="20"/>
  <c r="G652" i="20" s="1"/>
  <c r="H651" i="20"/>
  <c r="G651" i="20" s="1"/>
  <c r="H650" i="20"/>
  <c r="G650" i="20" s="1"/>
  <c r="H649" i="20"/>
  <c r="G649" i="20" s="1"/>
  <c r="H648" i="20"/>
  <c r="G648" i="20" s="1"/>
  <c r="H647" i="20"/>
  <c r="G647" i="20" s="1"/>
  <c r="A662" i="20"/>
  <c r="A661" i="20"/>
  <c r="A660" i="20"/>
  <c r="A659" i="20"/>
  <c r="A658" i="20"/>
  <c r="A657" i="20"/>
  <c r="A656" i="20"/>
  <c r="A655" i="20"/>
  <c r="A654" i="20"/>
  <c r="A653" i="20"/>
  <c r="A652" i="20"/>
  <c r="A651" i="20"/>
  <c r="A650" i="20"/>
  <c r="A649" i="20"/>
  <c r="A648" i="20"/>
  <c r="A647" i="20"/>
  <c r="A634" i="17"/>
  <c r="L634" i="17" s="1"/>
  <c r="A633" i="17"/>
  <c r="K633" i="17" s="1"/>
  <c r="A632" i="17"/>
  <c r="L632" i="17" s="1"/>
  <c r="A631" i="17"/>
  <c r="L631" i="17" s="1"/>
  <c r="A630" i="17"/>
  <c r="L630" i="17" s="1"/>
  <c r="A629" i="17"/>
  <c r="L629" i="17" s="1"/>
  <c r="A628" i="17"/>
  <c r="J628" i="17" s="1"/>
  <c r="A627" i="17"/>
  <c r="L627" i="17" s="1"/>
  <c r="A626" i="17"/>
  <c r="L626" i="17" s="1"/>
  <c r="A625" i="17"/>
  <c r="K625" i="17" s="1"/>
  <c r="A624" i="17"/>
  <c r="L624" i="17" s="1"/>
  <c r="A623" i="17"/>
  <c r="L623" i="17" s="1"/>
  <c r="A622" i="17"/>
  <c r="L622" i="17" s="1"/>
  <c r="A621" i="17"/>
  <c r="L621" i="17" s="1"/>
  <c r="A620" i="17"/>
  <c r="J620" i="17" s="1"/>
  <c r="A619" i="17"/>
  <c r="A618" i="17"/>
  <c r="I648" i="20" l="1"/>
  <c r="J648" i="20" s="1"/>
  <c r="N648" i="20" s="1"/>
  <c r="I651" i="20"/>
  <c r="J651" i="20" s="1"/>
  <c r="I656" i="20"/>
  <c r="J656" i="20" s="1"/>
  <c r="N656" i="20" s="1"/>
  <c r="J644" i="17"/>
  <c r="L644" i="17"/>
  <c r="K644" i="17"/>
  <c r="K619" i="17"/>
  <c r="L645" i="17"/>
  <c r="K645" i="17"/>
  <c r="J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23" i="17"/>
  <c r="L625" i="17"/>
  <c r="J631" i="17"/>
  <c r="L633" i="17"/>
  <c r="L620" i="17"/>
  <c r="K623" i="17"/>
  <c r="J626" i="17"/>
  <c r="L628" i="17"/>
  <c r="K631" i="17"/>
  <c r="J634" i="17"/>
  <c r="K628" i="17"/>
  <c r="J621" i="17"/>
  <c r="K626" i="17"/>
  <c r="J629" i="17"/>
  <c r="K634" i="17"/>
  <c r="K620" i="17"/>
  <c r="K621" i="17"/>
  <c r="J624" i="17"/>
  <c r="K629" i="17"/>
  <c r="J632" i="17"/>
  <c r="K624" i="17"/>
  <c r="J627" i="17"/>
  <c r="K632" i="17"/>
  <c r="J622" i="17"/>
  <c r="K627" i="17"/>
  <c r="J630" i="17"/>
  <c r="K622" i="17"/>
  <c r="J625" i="17"/>
  <c r="K630" i="17"/>
  <c r="J633" i="17"/>
  <c r="N651" i="20"/>
  <c r="L619" i="17"/>
  <c r="J619" i="17"/>
  <c r="A349" i="17" l="1"/>
  <c r="A348" i="17"/>
  <c r="A347" i="17"/>
  <c r="K347" i="17" s="1"/>
  <c r="A346" i="17"/>
  <c r="J346" i="17" s="1"/>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G373" i="20" s="1"/>
  <c r="H372" i="20"/>
  <c r="G372" i="20" s="1"/>
  <c r="I370" i="20"/>
  <c r="J370" i="20" s="1"/>
  <c r="A373" i="20"/>
  <c r="A372" i="20"/>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H312" i="20"/>
  <c r="G312" i="20" s="1"/>
  <c r="A314" i="20"/>
  <c r="H314" i="20" s="1"/>
  <c r="G314" i="20" s="1"/>
  <c r="A313" i="20"/>
  <c r="H313" i="20" s="1"/>
  <c r="G313" i="20" s="1"/>
  <c r="A312" i="20"/>
  <c r="A461" i="17"/>
  <c r="A460" i="17"/>
  <c r="A459" i="17"/>
  <c r="K459" i="17" s="1"/>
  <c r="A458" i="17"/>
  <c r="J458" i="17" s="1"/>
  <c r="A457" i="17"/>
  <c r="J457" i="17" s="1"/>
  <c r="A456" i="17"/>
  <c r="J456" i="17" s="1"/>
  <c r="A455" i="17"/>
  <c r="J455" i="17" s="1"/>
  <c r="A454" i="17"/>
  <c r="K454" i="17" s="1"/>
  <c r="A453" i="17"/>
  <c r="J453" i="17" s="1"/>
  <c r="A452" i="17"/>
  <c r="K452" i="17" s="1"/>
  <c r="A451" i="17"/>
  <c r="J451" i="17" s="1"/>
  <c r="A450" i="17"/>
  <c r="K450" i="17" s="1"/>
  <c r="A449" i="17"/>
  <c r="K449" i="17" s="1"/>
  <c r="A448" i="17"/>
  <c r="L448" i="17" s="1"/>
  <c r="A447" i="17"/>
  <c r="A446" i="17"/>
  <c r="K446" i="17" s="1"/>
  <c r="A445" i="17"/>
  <c r="J445" i="17" s="1"/>
  <c r="A444" i="17"/>
  <c r="J444" i="17" s="1"/>
  <c r="A443" i="17"/>
  <c r="J443" i="17" s="1"/>
  <c r="A442" i="17"/>
  <c r="J442" i="17" s="1"/>
  <c r="A441" i="17"/>
  <c r="K441" i="17" s="1"/>
  <c r="A440" i="17"/>
  <c r="K440" i="17" s="1"/>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91" i="20"/>
  <c r="G491" i="20" s="1"/>
  <c r="H488" i="20"/>
  <c r="G488" i="20" s="1"/>
  <c r="H487" i="20"/>
  <c r="G487" i="20" s="1"/>
  <c r="H483" i="20"/>
  <c r="G483" i="20" s="1"/>
  <c r="H481" i="20"/>
  <c r="G481" i="20" s="1"/>
  <c r="H480" i="20"/>
  <c r="G480" i="20" s="1"/>
  <c r="H475" i="20"/>
  <c r="G475" i="20" s="1"/>
  <c r="A494" i="20"/>
  <c r="H494" i="20" s="1"/>
  <c r="G494" i="20" s="1"/>
  <c r="A493" i="20"/>
  <c r="H493" i="20" s="1"/>
  <c r="G493" i="20" s="1"/>
  <c r="A492" i="20"/>
  <c r="H492" i="20" s="1"/>
  <c r="G492" i="20" s="1"/>
  <c r="A491" i="20"/>
  <c r="A490" i="20"/>
  <c r="H490" i="20" s="1"/>
  <c r="G490" i="20" s="1"/>
  <c r="A489" i="20"/>
  <c r="H489" i="20" s="1"/>
  <c r="G489" i="20" s="1"/>
  <c r="A488" i="20"/>
  <c r="A487" i="20"/>
  <c r="A486" i="20"/>
  <c r="H486" i="20" s="1"/>
  <c r="G486" i="20" s="1"/>
  <c r="A485" i="20"/>
  <c r="H485" i="20" s="1"/>
  <c r="G485" i="20" s="1"/>
  <c r="A484" i="20"/>
  <c r="H484" i="20" s="1"/>
  <c r="G484" i="20" s="1"/>
  <c r="A483" i="20"/>
  <c r="A482" i="20"/>
  <c r="H482" i="20" s="1"/>
  <c r="G482" i="20" s="1"/>
  <c r="A481" i="20"/>
  <c r="A480" i="20"/>
  <c r="A479" i="20"/>
  <c r="H479" i="20" s="1"/>
  <c r="G479" i="20" s="1"/>
  <c r="A478" i="20"/>
  <c r="H478" i="20" s="1"/>
  <c r="G478" i="20" s="1"/>
  <c r="A477" i="20"/>
  <c r="H477" i="20" s="1"/>
  <c r="G477" i="20" s="1"/>
  <c r="A476" i="20"/>
  <c r="H476" i="20" s="1"/>
  <c r="G476" i="20" s="1"/>
  <c r="A475" i="20"/>
  <c r="A474" i="20"/>
  <c r="H474" i="20" s="1"/>
  <c r="G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G687" i="17" s="1"/>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L687" i="17" l="1"/>
  <c r="K687" i="17"/>
  <c r="J687" i="17"/>
  <c r="G657" i="17"/>
  <c r="G664" i="17"/>
  <c r="G649" i="17"/>
  <c r="G653" i="17"/>
  <c r="G647" i="17"/>
  <c r="G660" i="17"/>
  <c r="G661" i="17"/>
  <c r="G648" i="17"/>
  <c r="G646" i="17"/>
  <c r="G667" i="17"/>
  <c r="G658" i="17"/>
  <c r="G655" i="17"/>
  <c r="G654" i="17"/>
  <c r="G666" i="17"/>
  <c r="G652" i="17"/>
  <c r="G659" i="17"/>
  <c r="G662" i="17"/>
  <c r="G656" i="17"/>
  <c r="G650" i="17"/>
  <c r="G665" i="17"/>
  <c r="G663" i="17"/>
  <c r="G651" i="17"/>
  <c r="I371" i="20"/>
  <c r="J371" i="20" s="1"/>
  <c r="N371" i="20" s="1"/>
  <c r="O371" i="20" s="1"/>
  <c r="I372" i="20"/>
  <c r="J372" i="20" s="1"/>
  <c r="N372" i="20" s="1"/>
  <c r="O372" i="20" s="1"/>
  <c r="L618" i="17"/>
  <c r="K618" i="17"/>
  <c r="J618"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519" i="1"/>
  <c r="H437" i="20"/>
  <c r="G437" i="20" s="1"/>
  <c r="H436" i="20"/>
  <c r="G436" i="20" s="1"/>
  <c r="H435" i="20"/>
  <c r="G435" i="20" s="1"/>
  <c r="H434" i="20"/>
  <c r="G434" i="20" s="1"/>
  <c r="H432" i="20"/>
  <c r="G432" i="20" s="1"/>
  <c r="H430" i="20"/>
  <c r="G430" i="20" s="1"/>
  <c r="O1519" i="1"/>
  <c r="I438" i="20" s="1"/>
  <c r="J438" i="20" s="1"/>
  <c r="H1519" i="1"/>
  <c r="H1511" i="1"/>
  <c r="J1511" i="1"/>
  <c r="O1511" i="1"/>
  <c r="W1511" i="1" s="1"/>
  <c r="K430" i="20" s="1"/>
  <c r="L430" i="20" s="1"/>
  <c r="H1512" i="1"/>
  <c r="J1512" i="1"/>
  <c r="O1512" i="1"/>
  <c r="W1512" i="1" s="1"/>
  <c r="K431" i="20" s="1"/>
  <c r="L431" i="20" s="1"/>
  <c r="H1513" i="1"/>
  <c r="J1513" i="1"/>
  <c r="O1513" i="1"/>
  <c r="W1513" i="1" s="1"/>
  <c r="K432" i="20" s="1"/>
  <c r="L432" i="20" s="1"/>
  <c r="H1514" i="1"/>
  <c r="J1514" i="1"/>
  <c r="O1514" i="1"/>
  <c r="W1514" i="1" s="1"/>
  <c r="K433" i="20" s="1"/>
  <c r="L433" i="20" s="1"/>
  <c r="H1515" i="1"/>
  <c r="J1515" i="1"/>
  <c r="O1515" i="1"/>
  <c r="W1515" i="1" s="1"/>
  <c r="K434" i="20" s="1"/>
  <c r="L434" i="20" s="1"/>
  <c r="H1516" i="1"/>
  <c r="J1516" i="1"/>
  <c r="O1516" i="1"/>
  <c r="W1516" i="1" s="1"/>
  <c r="K435" i="20" s="1"/>
  <c r="L435" i="20" s="1"/>
  <c r="H1517" i="1"/>
  <c r="J1517" i="1"/>
  <c r="O1517" i="1"/>
  <c r="W1517" i="1" s="1"/>
  <c r="K436" i="20" s="1"/>
  <c r="L436" i="20" s="1"/>
  <c r="H1518" i="1"/>
  <c r="J1518" i="1"/>
  <c r="O1518" i="1"/>
  <c r="W1518" i="1" s="1"/>
  <c r="K437" i="20" s="1"/>
  <c r="L437" i="20" s="1"/>
  <c r="O1510" i="1"/>
  <c r="J1510" i="1"/>
  <c r="H1510"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J47" i="15"/>
  <c r="J46" i="15"/>
  <c r="J45" i="15"/>
  <c r="U248" i="21"/>
  <c r="V248" i="21" s="1"/>
  <c r="A248" i="21"/>
  <c r="J214" i="17"/>
  <c r="O410" i="1"/>
  <c r="W410" i="1" s="1"/>
  <c r="J410" i="1"/>
  <c r="H410" i="1"/>
  <c r="O409" i="1"/>
  <c r="W409" i="1" s="1"/>
  <c r="J409" i="1"/>
  <c r="H409" i="1"/>
  <c r="O408" i="1"/>
  <c r="W408" i="1" s="1"/>
  <c r="J408" i="1"/>
  <c r="H408" i="1"/>
  <c r="H235" i="20"/>
  <c r="G235" i="20" s="1"/>
  <c r="H39" i="15"/>
  <c r="U74" i="15"/>
  <c r="L214" i="17" l="1"/>
  <c r="K214" i="17"/>
  <c r="G130" i="21"/>
  <c r="U131" i="21"/>
  <c r="V131" i="21" s="1"/>
  <c r="A131" i="21"/>
  <c r="G144" i="21"/>
  <c r="U147" i="21"/>
  <c r="V147" i="21" s="1"/>
  <c r="A147" i="21"/>
  <c r="U146" i="21"/>
  <c r="V146" i="21" s="1"/>
  <c r="A146" i="21"/>
  <c r="U145" i="21"/>
  <c r="V145" i="21" s="1"/>
  <c r="A145" i="21"/>
  <c r="K38" i="15"/>
  <c r="K37" i="15"/>
  <c r="K36" i="15"/>
  <c r="J48" i="15" l="1"/>
  <c r="G167" i="21" l="1"/>
  <c r="G169" i="21"/>
  <c r="G139" i="21"/>
  <c r="G141" i="21"/>
  <c r="G161" i="21"/>
  <c r="G165" i="21"/>
  <c r="K229" i="21" l="1"/>
  <c r="G132" i="21" l="1"/>
  <c r="G128" i="21"/>
  <c r="U134" i="21"/>
  <c r="V134" i="21" s="1"/>
  <c r="A134" i="21"/>
  <c r="U133" i="21"/>
  <c r="V133" i="21" s="1"/>
  <c r="A133" i="21"/>
  <c r="T133" i="15" l="1"/>
  <c r="T98" i="15"/>
  <c r="U133" i="15"/>
  <c r="U98"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H48" i="15" l="1"/>
  <c r="I39" i="15"/>
  <c r="K39" i="15"/>
  <c r="T25" i="15"/>
  <c r="T24" i="15"/>
  <c r="T23" i="15"/>
  <c r="T22" i="15"/>
  <c r="T21" i="15"/>
  <c r="T20" i="15"/>
  <c r="T19" i="15"/>
  <c r="T18" i="15"/>
  <c r="T17" i="15"/>
  <c r="T75" i="15"/>
  <c r="F36" i="15" s="1"/>
  <c r="U16" i="15"/>
  <c r="T26" i="15" l="1"/>
  <c r="K174" i="2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715" i="17"/>
  <c r="J714" i="17"/>
  <c r="K689" i="17"/>
  <c r="K690" i="17" l="1"/>
  <c r="J715" i="17"/>
  <c r="J690" i="17"/>
  <c r="L690" i="17"/>
  <c r="J689" i="17"/>
  <c r="L715" i="17"/>
  <c r="K714" i="17"/>
  <c r="L714" i="17"/>
  <c r="L689" i="17"/>
  <c r="H752" i="20"/>
  <c r="H751" i="20"/>
  <c r="H750" i="20"/>
  <c r="H749" i="20"/>
  <c r="T137" i="15" l="1"/>
  <c r="T102" i="15"/>
  <c r="T78" i="15"/>
  <c r="T77" i="15"/>
  <c r="O439" i="20"/>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T106" i="15"/>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T101" i="15" l="1"/>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L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35" i="17"/>
  <c r="K635" i="17"/>
  <c r="L635" i="17"/>
  <c r="J643" i="17"/>
  <c r="L643" i="17"/>
  <c r="K643" i="17"/>
  <c r="J671" i="17"/>
  <c r="L671" i="17"/>
  <c r="K671" i="17"/>
  <c r="J679" i="17"/>
  <c r="L679" i="17"/>
  <c r="K679" i="17"/>
  <c r="J688" i="17"/>
  <c r="L688" i="17"/>
  <c r="K688" i="17"/>
  <c r="J716" i="17"/>
  <c r="K716" i="17"/>
  <c r="L716" i="17"/>
  <c r="J720" i="17"/>
  <c r="L720" i="17"/>
  <c r="K720"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16" i="17"/>
  <c r="L616" i="17"/>
  <c r="J616" i="17"/>
  <c r="K640" i="17"/>
  <c r="L640" i="17"/>
  <c r="J640" i="17"/>
  <c r="K676" i="17"/>
  <c r="L676" i="17"/>
  <c r="J676" i="17"/>
  <c r="K684" i="17"/>
  <c r="J684" i="17"/>
  <c r="L684" i="17"/>
  <c r="K721" i="17"/>
  <c r="L721" i="17"/>
  <c r="J721"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15" i="17"/>
  <c r="L615" i="17"/>
  <c r="K615" i="17"/>
  <c r="J639" i="17"/>
  <c r="L639" i="17"/>
  <c r="K639" i="17"/>
  <c r="J675" i="17"/>
  <c r="K675" i="17"/>
  <c r="L675" i="17"/>
  <c r="J683" i="17"/>
  <c r="L683" i="17"/>
  <c r="K683" i="17"/>
  <c r="J724" i="17"/>
  <c r="L724" i="17"/>
  <c r="K724"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36" i="17"/>
  <c r="L636" i="17"/>
  <c r="J636" i="17"/>
  <c r="K668" i="17"/>
  <c r="J668" i="17"/>
  <c r="L668" i="17"/>
  <c r="K672" i="17"/>
  <c r="L672" i="17"/>
  <c r="J672" i="17"/>
  <c r="K680" i="17"/>
  <c r="L680" i="17"/>
  <c r="J680" i="17"/>
  <c r="K717" i="17"/>
  <c r="L717" i="17"/>
  <c r="J717" i="17"/>
  <c r="L725" i="17"/>
  <c r="K725" i="17"/>
  <c r="J725"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7" i="17"/>
  <c r="K617" i="17"/>
  <c r="J617" i="17"/>
  <c r="L637" i="17"/>
  <c r="J637" i="17"/>
  <c r="K637" i="17"/>
  <c r="L641" i="17"/>
  <c r="K641" i="17"/>
  <c r="J641" i="17"/>
  <c r="L669" i="17"/>
  <c r="K669" i="17"/>
  <c r="J669" i="17"/>
  <c r="L673" i="17"/>
  <c r="K673" i="17"/>
  <c r="J673" i="17"/>
  <c r="L677" i="17"/>
  <c r="J677" i="17"/>
  <c r="K677" i="17"/>
  <c r="L681" i="17"/>
  <c r="K681" i="17"/>
  <c r="J681" i="17"/>
  <c r="L685" i="17"/>
  <c r="K685" i="17"/>
  <c r="J685" i="17"/>
  <c r="L718" i="17"/>
  <c r="J718" i="17"/>
  <c r="K718" i="17"/>
  <c r="L722" i="17"/>
  <c r="J722" i="17"/>
  <c r="K722"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14" i="17"/>
  <c r="L614" i="17"/>
  <c r="K614" i="17"/>
  <c r="L638" i="17"/>
  <c r="K638" i="17"/>
  <c r="J638" i="17"/>
  <c r="K642" i="17"/>
  <c r="J642" i="17"/>
  <c r="L642" i="17"/>
  <c r="J670" i="17"/>
  <c r="L670" i="17"/>
  <c r="K670" i="17"/>
  <c r="L674" i="17"/>
  <c r="K674" i="17"/>
  <c r="J674" i="17"/>
  <c r="L678" i="17"/>
  <c r="K678" i="17"/>
  <c r="J678" i="17"/>
  <c r="K682" i="17"/>
  <c r="J682" i="17"/>
  <c r="L682" i="17"/>
  <c r="J686" i="17"/>
  <c r="L686" i="17"/>
  <c r="K686" i="17"/>
  <c r="L719" i="17"/>
  <c r="K719" i="17"/>
  <c r="J719" i="17"/>
  <c r="K723" i="17"/>
  <c r="J723" i="17"/>
  <c r="L723"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T142" i="15"/>
  <c r="T141" i="15"/>
  <c r="T140" i="15"/>
  <c r="T139" i="15"/>
  <c r="T138" i="15"/>
  <c r="T136" i="15"/>
  <c r="T135" i="15"/>
  <c r="E38" i="15" s="1"/>
  <c r="T134" i="15"/>
  <c r="F38" i="15"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G626" i="17"/>
  <c r="G630" i="17"/>
  <c r="G624" i="17"/>
  <c r="G449" i="17"/>
  <c r="G454" i="17"/>
  <c r="G451" i="17"/>
  <c r="G633" i="17"/>
  <c r="G631" i="17"/>
  <c r="G343" i="17"/>
  <c r="G444" i="17"/>
  <c r="G448" i="17"/>
  <c r="G450" i="17"/>
  <c r="G622" i="17"/>
  <c r="G442" i="17"/>
  <c r="G459" i="17"/>
  <c r="G441" i="17"/>
  <c r="G452" i="17"/>
  <c r="G620" i="17"/>
  <c r="G634" i="17"/>
  <c r="G456" i="17"/>
  <c r="G440" i="17"/>
  <c r="G344" i="17"/>
  <c r="G629" i="17"/>
  <c r="G445" i="17"/>
  <c r="G627" i="17"/>
  <c r="G625" i="17"/>
  <c r="G447" i="17"/>
  <c r="G455" i="17"/>
  <c r="G457" i="17"/>
  <c r="G346" i="17"/>
  <c r="G632" i="17"/>
  <c r="G619" i="17"/>
  <c r="G446" i="17"/>
  <c r="G443" i="17"/>
  <c r="G347" i="17"/>
  <c r="G621" i="17"/>
  <c r="G623" i="17"/>
  <c r="G628"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8" i="17"/>
  <c r="G397" i="17"/>
  <c r="G255" i="17"/>
  <c r="G401" i="17"/>
  <c r="G399" i="17"/>
  <c r="G246" i="17"/>
  <c r="G723" i="17"/>
  <c r="G403" i="17"/>
  <c r="G253" i="17"/>
  <c r="G247" i="17"/>
  <c r="G214" i="17"/>
  <c r="G245" i="17"/>
  <c r="G721" i="17"/>
  <c r="G719" i="17"/>
  <c r="G250" i="17"/>
  <c r="G252" i="17"/>
  <c r="G256" i="17"/>
  <c r="G249" i="17"/>
  <c r="G717" i="17"/>
  <c r="G405" i="17"/>
  <c r="G254" i="17"/>
  <c r="G398" i="17"/>
  <c r="G722" i="17"/>
  <c r="G716" i="17"/>
  <c r="G400" i="17"/>
  <c r="G248" i="17"/>
  <c r="G725" i="17"/>
  <c r="G402" i="17"/>
  <c r="G503" i="17"/>
  <c r="G720" i="17"/>
  <c r="G404" i="17"/>
  <c r="G724"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99" i="15"/>
  <c r="F37" i="15" s="1"/>
  <c r="F39" i="15" s="1"/>
  <c r="T100" i="15"/>
  <c r="E37" i="15" s="1"/>
  <c r="T103" i="15"/>
  <c r="T104" i="15"/>
  <c r="T105" i="15"/>
  <c r="T107" i="15"/>
  <c r="T76" i="15"/>
  <c r="E36" i="15" s="1"/>
  <c r="T79" i="15"/>
  <c r="T80" i="15"/>
  <c r="T81" i="15"/>
  <c r="T82" i="15"/>
  <c r="T83" i="15"/>
  <c r="E39" i="15" l="1"/>
  <c r="T84" i="15"/>
  <c r="D36" i="15" s="1"/>
  <c r="Y13" i="20"/>
  <c r="Y9" i="20" s="1"/>
  <c r="X12" i="20"/>
  <c r="U13" i="19"/>
  <c r="T12" i="19"/>
  <c r="T143" i="15"/>
  <c r="D38" i="15" s="1"/>
  <c r="G38" i="15" s="1"/>
  <c r="T108" i="15"/>
  <c r="D37" i="15" s="1"/>
  <c r="G37" i="15" s="1"/>
  <c r="A7" i="17"/>
  <c r="G7" i="17" s="1"/>
  <c r="H254" i="21" l="1"/>
  <c r="O254" i="21" s="1"/>
  <c r="D39" i="15"/>
  <c r="G36" i="15"/>
  <c r="G39" i="15" s="1"/>
  <c r="L7" i="17"/>
  <c r="L8" i="17"/>
  <c r="K7" i="17"/>
  <c r="J7" i="17"/>
  <c r="J8" i="17"/>
  <c r="K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G41" i="15" l="1"/>
  <c r="G40" i="15"/>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Q251" i="21" l="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34" i="15"/>
  <c r="F47" i="15" s="1"/>
  <c r="U106" i="15"/>
  <c r="V106" i="15" s="1"/>
  <c r="U25" i="15"/>
  <c r="V25" i="15" s="1"/>
  <c r="U23" i="15"/>
  <c r="V23" i="15" s="1"/>
  <c r="U24" i="15"/>
  <c r="V24" i="15" s="1"/>
  <c r="U105" i="15"/>
  <c r="V105" i="15" s="1"/>
  <c r="U142" i="15"/>
  <c r="V142" i="15" s="1"/>
  <c r="U104" i="15"/>
  <c r="V104" i="15" s="1"/>
  <c r="U99" i="15"/>
  <c r="F46" i="15" s="1"/>
  <c r="U139" i="15"/>
  <c r="V139" i="15" s="1"/>
  <c r="U77" i="15"/>
  <c r="V77" i="15" s="1"/>
  <c r="U79" i="15"/>
  <c r="V79" i="15" s="1"/>
  <c r="U138" i="15"/>
  <c r="V138" i="15" s="1"/>
  <c r="U81" i="15"/>
  <c r="V81" i="15" s="1"/>
  <c r="U83" i="15"/>
  <c r="V83" i="15" s="1"/>
  <c r="U107" i="15"/>
  <c r="V107" i="15" s="1"/>
  <c r="U140" i="15"/>
  <c r="V140" i="15" s="1"/>
  <c r="U102" i="15"/>
  <c r="V102" i="15" s="1"/>
  <c r="U18" i="15"/>
  <c r="V18" i="15" s="1"/>
  <c r="U75" i="15"/>
  <c r="F45" i="15" s="1"/>
  <c r="U103" i="15"/>
  <c r="V103" i="15" s="1"/>
  <c r="U141" i="15"/>
  <c r="V141" i="15" s="1"/>
  <c r="U137" i="15"/>
  <c r="V137" i="15" s="1"/>
  <c r="U82" i="15"/>
  <c r="V82" i="15" s="1"/>
  <c r="U22" i="15"/>
  <c r="V22" i="15" s="1"/>
  <c r="U20" i="15"/>
  <c r="V20" i="15" s="1"/>
  <c r="U101" i="15"/>
  <c r="V101" i="15" s="1"/>
  <c r="U135" i="15"/>
  <c r="V135" i="15" s="1"/>
  <c r="U17" i="15"/>
  <c r="V17" i="15" s="1"/>
  <c r="U76" i="15"/>
  <c r="V76" i="15" s="1"/>
  <c r="U78" i="15"/>
  <c r="V78" i="15" s="1"/>
  <c r="U80" i="15"/>
  <c r="V80" i="15" s="1"/>
  <c r="U100" i="15"/>
  <c r="U136" i="15"/>
  <c r="V136"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O19" i="21" l="1"/>
  <c r="O220" i="21"/>
  <c r="V99" i="15"/>
  <c r="V134" i="15"/>
  <c r="F48" i="15"/>
  <c r="U108" i="15"/>
  <c r="D46" i="15" s="1"/>
  <c r="V75" i="15"/>
  <c r="E46" i="15"/>
  <c r="V100" i="15"/>
  <c r="U26" i="15"/>
  <c r="E47" i="15"/>
  <c r="E45" i="15"/>
  <c r="U143" i="15"/>
  <c r="D137" i="15" s="1"/>
  <c r="U84" i="15"/>
  <c r="D78" i="15" s="1"/>
  <c r="L440" i="20"/>
  <c r="N440" i="20" s="1"/>
  <c r="Q546" i="20"/>
  <c r="N546" i="20"/>
  <c r="Q440" i="20"/>
  <c r="Q72" i="20"/>
  <c r="K72" i="20"/>
  <c r="L72" i="20" s="1"/>
  <c r="N72" i="20" s="1"/>
  <c r="N25" i="20"/>
  <c r="J583" i="19"/>
  <c r="L583" i="19" s="1"/>
  <c r="J27" i="19"/>
  <c r="I25" i="19"/>
  <c r="J24" i="20"/>
  <c r="J755" i="20" s="1"/>
  <c r="Q25" i="20"/>
  <c r="I24" i="20"/>
  <c r="D102" i="15" l="1"/>
  <c r="G46" i="15"/>
  <c r="K46" i="15" s="1"/>
  <c r="E48" i="15"/>
  <c r="D47" i="15"/>
  <c r="G47" i="15" s="1"/>
  <c r="D45" i="15"/>
  <c r="G45" i="15" s="1"/>
  <c r="K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K47" i="15"/>
  <c r="K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<sst xmlns="http://schemas.openxmlformats.org/spreadsheetml/2006/main" count="33212" uniqueCount="2380">
  <si>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</si>
  <si>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</si>
  <si>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</si>
  <si>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</si>
  <si>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</si>
  <si>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</si>
  <si>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</si>
  <si>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</si>
  <si>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</si>
  <si>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</si>
  <si>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</si>
  <si>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</si>
  <si>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</si>
  <si>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</si>
  <si>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</si>
  <si>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</si>
  <si>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</si>
  <si>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</si>
  <si>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</si>
  <si>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</si>
  <si>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</si>
  <si>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</si>
  <si>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</si>
  <si>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</si>
  <si>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</si>
  <si>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</si>
  <si>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</si>
  <si>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</si>
  <si>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</si>
  <si>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</si>
  <si>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</si>
  <si>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</si>
  <si>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</si>
  <si>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</si>
  <si>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</si>
  <si>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</si>
  <si>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</si>
  <si>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</si>
  <si>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</si>
  <si>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</si>
  <si>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</si>
  <si>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</si>
  <si>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</si>
  <si>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</si>
  <si>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</si>
  <si>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</si>
  <si>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</si>
  <si>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</si>
  <si>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</si>
  <si>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</si>
  <si>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</si>
  <si>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</si>
  <si>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</si>
  <si>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</si>
  <si>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</si>
  <si>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</si>
  <si>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</si>
  <si>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</si>
  <si>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</si>
  <si>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</si>
  <si>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</si>
  <si>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</si>
  <si>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</si>
  <si>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</si>
  <si>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</si>
  <si>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</si>
  <si>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</si>
  <si>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</si>
  <si>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</si>
  <si>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</si>
  <si>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</si>
  <si>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</si>
  <si>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</si>
  <si>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</si>
  <si>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</si>
  <si>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</si>
  <si>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</si>
  <si>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</si>
  <si>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</si>
  <si>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</si>
  <si>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</si>
  <si>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</si>
  <si>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</si>
  <si>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</si>
  <si>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</si>
  <si>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</si>
  <si>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</si>
  <si>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</si>
  <si>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</si>
  <si>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</si>
  <si>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</si>
  <si>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</si>
  <si>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</si>
  <si>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</si>
  <si>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</si>
  <si>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</si>
  <si>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</si>
  <si>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</si>
  <si>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</si>
  <si>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</si>
  <si>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</si>
  <si>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</si>
  <si>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</si>
  <si>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</si>
  <si>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</si>
  <si>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</si>
  <si>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</si>
  <si>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</si>
  <si>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</si>
  <si>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</si>
  <si>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</si>
  <si>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</si>
  <si>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</si>
  <si>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</si>
  <si>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</si>
  <si>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</si>
  <si>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</si>
  <si>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</si>
  <si>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</si>
  <si>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</si>
  <si>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</si>
  <si>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</si>
  <si>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</si>
  <si>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</si>
  <si>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</si>
  <si>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</si>
  <si>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</si>
  <si>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</si>
  <si>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</si>
  <si>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</si>
  <si>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</si>
  <si>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</si>
  <si>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</si>
  <si>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</si>
  <si>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</si>
  <si>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</si>
  <si>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</si>
  <si>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</si>
  <si>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</si>
  <si>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</si>
  <si>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</si>
  <si>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</si>
  <si>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</si>
  <si>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</si>
  <si>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</si>
  <si>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</si>
  <si>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</si>
  <si>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</si>
  <si>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</si>
  <si>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</si>
  <si>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</si>
  <si>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</si>
  <si>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</si>
  <si>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</si>
  <si>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</si>
  <si>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</si>
  <si>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</si>
  <si>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</si>
  <si>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</si>
  <si>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</si>
  <si>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</si>
  <si>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</si>
  <si>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</si>
  <si>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</si>
  <si>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</si>
  <si>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</si>
  <si>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</si>
  <si>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</si>
  <si>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</si>
  <si>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</si>
  <si>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</si>
  <si>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</si>
  <si>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</si>
  <si>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</si>
  <si>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</si>
  <si>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</si>
  <si>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</si>
  <si>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</si>
  <si>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</si>
  <si>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</si>
  <si>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</si>
  <si>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</si>
  <si>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</si>
  <si>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</si>
  <si>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</si>
  <si>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</si>
  <si>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</si>
  <si>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</si>
  <si>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</si>
  <si>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</si>
  <si>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</si>
  <si>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</si>
  <si>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</si>
  <si>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</si>
  <si>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</si>
  <si>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</si>
  <si>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</si>
  <si>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</si>
  <si>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</si>
  <si>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</si>
  <si>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</si>
  <si>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</si>
  <si>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</si>
  <si>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</si>
  <si>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</si>
  <si>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</si>
  <si>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</si>
  <si>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</si>
  <si>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</si>
  <si>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</si>
  <si>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</si>
  <si>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</si>
  <si>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</si>
  <si>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</si>
  <si>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</si>
  <si>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</si>
  <si>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</si>
  <si>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</si>
  <si>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</si>
  <si>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</si>
  <si>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</si>
  <si>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</si>
  <si>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</si>
  <si>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</si>
  <si>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</si>
  <si>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</si>
  <si>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</si>
  <si>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</si>
  <si>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</si>
  <si>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</si>
  <si>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</si>
  <si>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</si>
  <si>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</si>
  <si>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</si>
  <si>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</si>
  <si>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</si>
  <si>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</si>
  <si>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</si>
  <si>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</si>
  <si>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</si>
  <si>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</si>
  <si>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</si>
  <si>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</si>
  <si>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</si>
  <si>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</si>
  <si>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</si>
  <si>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</si>
  <si>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</si>
  <si>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</si>
  <si>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</si>
  <si>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</si>
  <si>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</si>
  <si>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</si>
  <si>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</si>
  <si>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</si>
  <si>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</si>
  <si>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</si>
  <si>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</si>
  <si>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</si>
  <si>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</si>
  <si>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</si>
  <si>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</si>
  <si>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</si>
  <si>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</si>
  <si>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</si>
  <si>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</si>
  <si>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</si>
  <si>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</si>
  <si>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</si>
  <si>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</si>
  <si>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</si>
  <si>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</si>
  <si>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</si>
  <si>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</si>
  <si>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</si>
  <si>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</si>
  <si>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</si>
  <si>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</si>
  <si>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</si>
  <si>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</si>
  <si>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</si>
  <si>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</si>
  <si>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</si>
  <si>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</si>
  <si>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</si>
  <si>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</si>
  <si>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</si>
  <si>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</si>
  <si>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</si>
  <si>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</si>
  <si>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</si>
  <si>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</si>
  <si>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</si>
  <si>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</si>
  <si>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</si>
  <si>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</si>
  <si>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</si>
  <si>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</si>
  <si>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</si>
  <si>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</si>
  <si>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</si>
  <si>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</si>
  <si>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</si>
  <si>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</si>
  <si>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</si>
  <si>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</si>
  <si>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</si>
  <si>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</si>
  <si>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</si>
  <si>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</si>
  <si>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</si>
  <si>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</si>
  <si>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</si>
  <si>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</si>
  <si>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</si>
  <si>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</si>
  <si>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</si>
  <si>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</si>
  <si>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</si>
  <si>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</si>
  <si>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</si>
  <si>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</si>
  <si>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</si>
  <si>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</si>
  <si>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</si>
  <si>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</si>
  <si>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</si>
  <si>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</si>
  <si>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</si>
  <si>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</si>
  <si>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</si>
  <si>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</si>
  <si>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</si>
  <si>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</si>
  <si>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</si>
  <si>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</si>
  <si>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</si>
  <si>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</si>
  <si>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</si>
  <si>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</si>
  <si>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</si>
  <si>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</si>
  <si>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</si>
  <si>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</si>
  <si>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</si>
  <si>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</si>
  <si>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</si>
  <si>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</si>
  <si>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</si>
  <si>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</si>
  <si>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</si>
  <si>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</si>
  <si>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</si>
  <si>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</si>
  <si>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</si>
  <si>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</si>
  <si>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</si>
  <si>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</si>
  <si>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</si>
  <si>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</si>
  <si>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</si>
  <si>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</si>
  <si>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</si>
  <si>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</si>
  <si>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</si>
  <si>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</si>
  <si>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</si>
  <si>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</si>
  <si>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</si>
  <si>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</si>
  <si>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</si>
  <si>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</si>
  <si>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</si>
  <si>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</si>
  <si>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</si>
  <si>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</si>
  <si>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</si>
  <si>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</si>
  <si>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</si>
  <si>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</si>
  <si>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</si>
  <si>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</si>
  <si>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</si>
  <si>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</si>
  <si>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</si>
  <si>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</si>
  <si>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</si>
  <si>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</si>
  <si>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</si>
  <si>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</si>
  <si>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</si>
  <si>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</si>
  <si>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</si>
  <si>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</si>
  <si>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</si>
  <si>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</si>
  <si>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</si>
  <si>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</si>
  <si>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</si>
  <si>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</si>
  <si>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</si>
  <si>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</si>
  <si>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</si>
  <si>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</si>
  <si>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</si>
  <si>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</si>
  <si>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</si>
  <si>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</si>
  <si>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</si>
  <si>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</si>
  <si>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</si>
  <si>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</si>
  <si>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</si>
  <si>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</si>
  <si>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</si>
  <si>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</si>
  <si>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</si>
  <si>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</si>
  <si>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</si>
  <si>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</si>
  <si>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</si>
  <si>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</si>
  <si>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</si>
  <si>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</si>
  <si>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</si>
  <si>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</si>
  <si>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</si>
  <si>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</si>
  <si>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</si>
  <si>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</si>
  <si>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</si>
  <si>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</si>
  <si>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</si>
  <si>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</si>
  <si>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</si>
  <si>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</si>
  <si>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</si>
  <si>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</si>
  <si>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</si>
  <si>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</si>
  <si>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</si>
  <si>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</si>
  <si>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</si>
  <si>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</si>
  <si>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</si>
  <si>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</si>
  <si>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</si>
  <si>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</si>
  <si>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</si>
  <si>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</si>
  <si>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</si>
  <si>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</si>
  <si>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</si>
  <si>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</si>
  <si>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</si>
  <si>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</si>
  <si>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</si>
  <si>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</si>
  <si>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</si>
  <si>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</si>
  <si>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</si>
  <si>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</si>
  <si>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</si>
  <si>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</si>
  <si>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</si>
  <si>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</si>
  <si>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</si>
  <si>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</si>
  <si>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</si>
  <si>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</si>
  <si>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</si>
  <si>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</si>
  <si>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</si>
  <si>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</si>
  <si>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</si>
  <si>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</si>
  <si>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</si>
  <si>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</si>
  <si>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</si>
  <si>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</si>
  <si>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</si>
  <si>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</si>
  <si>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</si>
  <si>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</si>
  <si>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</si>
  <si>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</si>
  <si>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</si>
  <si>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</si>
  <si>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</si>
  <si>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</si>
  <si>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</si>
  <si>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</si>
  <si>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</si>
  <si>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</si>
  <si>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</si>
  <si>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</si>
  <si>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</si>
  <si>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</si>
  <si>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</si>
  <si>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</si>
  <si>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</si>
  <si>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</si>
  <si>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</si>
  <si>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</si>
  <si>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</si>
  <si>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</si>
  <si>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</si>
  <si>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</si>
  <si>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</si>
  <si>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</si>
  <si>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</si>
  <si>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</si>
  <si>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</si>
  <si>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</si>
  <si>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</si>
  <si>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</si>
  <si>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</si>
  <si>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</si>
  <si>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</si>
  <si>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</si>
  <si>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</si>
  <si>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</si>
  <si>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</si>
  <si>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</si>
  <si>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</si>
  <si>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</si>
  <si>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</si>
  <si>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</si>
  <si>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</si>
  <si>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</si>
  <si>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</si>
  <si>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</si>
  <si>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</si>
  <si>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</si>
  <si>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</si>
  <si>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</si>
  <si>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</si>
  <si>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</si>
  <si>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</si>
  <si>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</si>
  <si>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</si>
  <si>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</si>
  <si>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</si>
  <si>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</si>
  <si>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</si>
  <si>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</si>
  <si>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</si>
  <si>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</si>
  <si>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</si>
  <si>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</si>
  <si>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</si>
  <si>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</si>
  <si>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</si>
  <si>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</si>
  <si>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</si>
  <si>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</si>
  <si>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</si>
  <si>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</si>
  <si>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</si>
  <si>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</si>
  <si>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</si>
  <si>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</si>
  <si>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</si>
  <si>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</si>
  <si>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</si>
  <si>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</si>
  <si>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</si>
  <si>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</si>
  <si>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</si>
  <si>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</si>
  <si>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</si>
  <si>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</si>
  <si>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</si>
  <si>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</si>
  <si>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</si>
  <si>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</si>
  <si>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</si>
  <si>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</si>
  <si>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</si>
  <si>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</si>
  <si>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</si>
  <si>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</si>
  <si>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</si>
  <si>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</si>
  <si>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</si>
  <si>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</si>
  <si>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</si>
  <si>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</si>
  <si>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</si>
  <si>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</si>
  <si>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</si>
  <si>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</si>
  <si>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</si>
  <si>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</si>
  <si>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</si>
  <si>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</si>
  <si>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</si>
  <si>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</si>
  <si>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</si>
  <si>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</si>
  <si>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</si>
  <si>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</si>
  <si>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</si>
  <si>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</si>
  <si>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</si>
  <si>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</si>
  <si>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</si>
  <si>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</si>
  <si>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</si>
  <si>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</si>
  <si>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</si>
  <si>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</si>
  <si>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</si>
  <si>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</si>
  <si>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</si>
  <si>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</si>
  <si>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</si>
  <si>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</si>
  <si>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</si>
  <si>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</si>
  <si>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</si>
  <si>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</si>
  <si>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</si>
  <si>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</si>
  <si>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</si>
  <si>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</si>
  <si>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</si>
  <si>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</si>
  <si>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</si>
  <si>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</si>
  <si>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</si>
  <si>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</si>
  <si>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</si>
  <si>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</si>
  <si>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</si>
  <si>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</si>
  <si>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</si>
  <si>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</si>
  <si>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</si>
  <si>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</si>
  <si>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</si>
  <si>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</si>
  <si>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</si>
  <si>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</si>
  <si>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</si>
  <si>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</si>
  <si>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</si>
  <si>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</si>
  <si>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</si>
  <si>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</si>
  <si>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</si>
  <si>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</si>
  <si>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</si>
  <si>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</si>
  <si>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</si>
  <si>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</si>
  <si>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</si>
  <si>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</si>
  <si>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</si>
  <si>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</si>
  <si>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</si>
  <si>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</si>
  <si>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</si>
  <si>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</si>
  <si>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</si>
  <si>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</si>
  <si>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</si>
  <si>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</si>
  <si>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</si>
  <si>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</si>
  <si>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</si>
  <si>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</si>
  <si>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</si>
  <si>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</si>
  <si>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</si>
  <si>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</si>
  <si>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</si>
  <si>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</si>
  <si>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</si>
  <si>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</si>
  <si>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</si>
  <si>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</si>
  <si>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</si>
  <si>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</si>
  <si>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</si>
  <si>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</si>
  <si>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</si>
  <si>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</si>
  <si>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</si>
  <si>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</si>
  <si>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</si>
  <si>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</si>
  <si>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</si>
  <si>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</si>
  <si>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</si>
  <si>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</si>
  <si>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</si>
  <si>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</si>
  <si>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</si>
  <si>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</si>
  <si>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</si>
  <si>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</si>
  <si>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</si>
  <si>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</si>
  <si>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</si>
  <si>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</si>
  <si>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</si>
  <si>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</si>
  <si>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</si>
  <si>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</si>
  <si>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</si>
  <si>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</si>
  <si>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</si>
  <si>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</si>
  <si>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</si>
  <si>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</si>
  <si>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</si>
  <si>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</si>
  <si>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</si>
  <si>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</si>
  <si>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</si>
  <si>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</si>
  <si>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</si>
  <si>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</si>
  <si>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</si>
  <si>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</si>
  <si>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</si>
  <si>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</si>
  <si>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</si>
  <si>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</si>
  <si>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</si>
  <si>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</si>
  <si>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</si>
  <si>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</si>
  <si>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</si>
  <si>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</si>
  <si>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</si>
  <si>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</si>
  <si>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</si>
  <si>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</si>
  <si>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</si>
  <si>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</si>
  <si>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</si>
  <si>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</si>
  <si>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</si>
  <si>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</si>
  <si>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</si>
  <si>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</si>
  <si>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</si>
  <si>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</si>
  <si>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</si>
  <si>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</si>
  <si>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</si>
  <si>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</si>
  <si>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</si>
  <si>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</si>
  <si>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</si>
  <si>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</si>
  <si>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</si>
  <si>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</si>
  <si>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</si>
  <si>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</si>
  <si>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</si>
  <si>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</si>
  <si>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</si>
  <si>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</si>
  <si>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</si>
  <si>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</si>
  <si>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</si>
  <si>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</si>
  <si>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</si>
  <si>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</si>
  <si>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</si>
  <si>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</si>
  <si>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</si>
  <si>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</si>
  <si>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</si>
  <si>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</si>
  <si>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</si>
  <si>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</si>
  <si>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</si>
  <si>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</si>
  <si>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</si>
  <si>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</si>
  <si>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</si>
  <si>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</si>
  <si>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</si>
  <si>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</si>
  <si>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</si>
  <si>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</si>
  <si>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</si>
  <si>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</si>
  <si>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</si>
  <si>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</si>
  <si>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</si>
  <si>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</si>
  <si>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</si>
  <si>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</si>
  <si>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</si>
  <si>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</si>
  <si>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</si>
  <si>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</si>
  <si>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</si>
  <si>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</si>
  <si>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</si>
  <si>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</si>
  <si>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</si>
  <si>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</si>
  <si>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</si>
  <si>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</si>
  <si>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</si>
  <si>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</si>
  <si>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</si>
  <si>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</si>
  <si>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</si>
  <si>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</si>
  <si>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</si>
  <si>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</si>
  <si>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</si>
  <si>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</si>
  <si>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</si>
  <si>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</si>
  <si>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</si>
  <si>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</si>
  <si>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</si>
  <si>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</si>
  <si>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</si>
  <si>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</si>
  <si>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</si>
  <si>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</si>
  <si>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</si>
  <si>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</si>
  <si>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</si>
  <si>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</si>
  <si>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</si>
  <si>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</si>
  <si>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</si>
  <si>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</si>
  <si>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</si>
  <si>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</si>
  <si>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</si>
  <si>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</si>
  <si>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</si>
  <si>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</si>
  <si>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</si>
  <si>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</si>
  <si>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</si>
  <si>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</si>
  <si>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</si>
  <si>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</si>
  <si>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</si>
  <si>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</si>
  <si>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</si>
  <si>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</si>
  <si>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</si>
  <si>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</si>
  <si>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</si>
  <si>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</si>
  <si>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</si>
  <si>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</si>
  <si>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</si>
  <si>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</si>
  <si>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</si>
  <si>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</si>
  <si>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</si>
  <si>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</si>
  <si>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</si>
  <si>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</si>
  <si>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</si>
  <si>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</si>
  <si>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</si>
  <si>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</si>
  <si>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</si>
  <si>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</si>
  <si>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</si>
  <si>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</si>
  <si>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</si>
  <si>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</si>
  <si>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</si>
  <si>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</si>
  <si>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</si>
  <si>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</si>
  <si>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</si>
  <si>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</si>
  <si>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</si>
  <si>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</si>
  <si>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</si>
  <si>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</si>
  <si>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</si>
  <si>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</si>
  <si>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</si>
  <si>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</si>
  <si>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</si>
  <si>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</si>
  <si>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</si>
  <si>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</si>
  <si>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</si>
  <si>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</si>
  <si>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</si>
  <si>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</si>
  <si>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</si>
  <si>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</si>
  <si>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</si>
  <si>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</si>
  <si>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</si>
  <si>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</si>
  <si>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</si>
  <si>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</si>
  <si>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</si>
  <si>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</si>
  <si>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</si>
  <si>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</si>
  <si>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</si>
  <si>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</si>
  <si>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</si>
  <si>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</si>
  <si>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</si>
  <si>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</si>
  <si>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</si>
  <si>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</si>
  <si>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</si>
  <si>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</si>
  <si>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</si>
  <si>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</si>
  <si>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</si>
  <si>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</si>
  <si>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</si>
  <si>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</si>
  <si>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</si>
  <si>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</si>
  <si>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</si>
  <si>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</si>
  <si>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</si>
  <si>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</si>
  <si>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</si>
  <si>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</si>
  <si>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</si>
  <si>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</si>
  <si>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</si>
  <si>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</si>
  <si>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</si>
  <si>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</si>
  <si>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</si>
  <si>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</si>
  <si>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</si>
  <si>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</si>
  <si>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</si>
  <si>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</si>
  <si>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</si>
  <si>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</si>
  <si>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</si>
  <si>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</si>
  <si>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</si>
  <si>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</si>
  <si>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</si>
  <si>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</si>
  <si>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</si>
  <si>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</si>
  <si>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</si>
  <si>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</si>
  <si>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</si>
  <si>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</si>
  <si>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</si>
  <si>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</si>
  <si>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</si>
  <si>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</si>
  <si>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</si>
  <si>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</si>
  <si>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</si>
  <si>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</si>
  <si>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</si>
  <si>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</si>
  <si>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</si>
  <si>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</si>
  <si>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</si>
  <si>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</si>
  <si>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</si>
  <si>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</si>
  <si>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</si>
  <si>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</si>
  <si>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</si>
  <si>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</si>
  <si>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</si>
  <si>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</si>
  <si>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</si>
  <si>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</si>
  <si>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</si>
  <si>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</si>
  <si>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</si>
  <si>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</si>
  <si>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</si>
  <si>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</si>
  <si>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</si>
  <si>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</si>
  <si>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</si>
  <si>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</si>
  <si>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</si>
  <si>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</si>
  <si>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</si>
  <si>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</si>
  <si>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</si>
  <si>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</si>
  <si>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</si>
  <si>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</si>
  <si>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</si>
  <si>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</si>
  <si>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</si>
  <si>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</si>
  <si>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</si>
  <si>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</si>
  <si>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</si>
  <si>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</si>
  <si>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</si>
  <si>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</si>
  <si>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</si>
  <si>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</si>
  <si>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</si>
  <si>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</si>
  <si>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</si>
  <si>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</si>
  <si>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</si>
  <si>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</si>
  <si>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</si>
  <si>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</si>
  <si>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</si>
  <si>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</si>
  <si>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</si>
  <si>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</si>
  <si>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</si>
  <si>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</si>
  <si>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</si>
  <si>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</si>
  <si>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</si>
  <si>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</si>
  <si>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</si>
  <si>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</si>
  <si>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</si>
  <si>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</si>
  <si>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</si>
  <si>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</si>
  <si>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</si>
  <si>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</si>
  <si>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</si>
  <si>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</si>
  <si>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</si>
  <si>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</si>
  <si>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</si>
  <si>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</si>
  <si>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</si>
  <si>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</si>
  <si>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</si>
  <si>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</si>
  <si>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</si>
  <si>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</si>
  <si>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</si>
  <si>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</si>
  <si>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</si>
  <si>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</si>
  <si>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</si>
  <si>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</si>
  <si>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</si>
  <si>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</si>
  <si>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</si>
  <si>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</si>
  <si>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</si>
  <si>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</si>
  <si>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</si>
  <si>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</si>
  <si>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</si>
  <si>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</si>
  <si>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</si>
  <si>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</si>
  <si>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</si>
  <si>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</si>
  <si>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</si>
  <si>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</si>
  <si>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</si>
  <si>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</si>
  <si>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</si>
  <si>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</si>
  <si>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</si>
  <si>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</si>
  <si>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</si>
  <si>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</si>
  <si>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</si>
  <si>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</si>
  <si>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</si>
  <si>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</si>
  <si>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</si>
  <si>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</si>
  <si>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</si>
  <si>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</si>
  <si>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</si>
  <si>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</si>
  <si>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</si>
  <si>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</si>
  <si>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</si>
  <si>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</si>
  <si>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</si>
  <si>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</si>
  <si>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</si>
  <si>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</si>
  <si>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</si>
  <si>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</si>
  <si>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</si>
  <si>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</si>
  <si>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</si>
  <si>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</si>
  <si>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</si>
  <si>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</si>
  <si>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</si>
  <si>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</si>
  <si>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</si>
  <si>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</si>
  <si>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</si>
  <si>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</si>
  <si>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</si>
  <si>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</si>
  <si>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</si>
  <si>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</si>
  <si>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</si>
  <si>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</si>
  <si>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</si>
  <si>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</si>
  <si>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</si>
  <si>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</si>
  <si>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</si>
  <si>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</si>
  <si>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</si>
  <si>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</si>
  <si>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</si>
  <si>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</si>
  <si>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</si>
  <si>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</si>
  <si>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</si>
  <si>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</si>
  <si>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</si>
  <si>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</si>
  <si>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</si>
  <si>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</si>
  <si>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</si>
  <si>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</si>
  <si>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</si>
  <si>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</si>
  <si>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</si>
  <si>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</si>
  <si>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</si>
  <si>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</si>
  <si>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</si>
  <si>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</si>
  <si>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</si>
  <si>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</si>
  <si>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</si>
  <si>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</si>
  <si>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</si>
  <si>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</si>
  <si>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</si>
  <si>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</si>
  <si>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</si>
  <si>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</si>
  <si>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</si>
  <si>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</si>
  <si>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</si>
  <si>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</si>
  <si>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</si>
  <si>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</si>
  <si>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</si>
  <si>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</si>
  <si>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</si>
  <si>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</si>
  <si>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</si>
  <si>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</si>
  <si>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</si>
  <si>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</si>
  <si>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</si>
  <si>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</si>
  <si>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</si>
  <si>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</si>
  <si>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</si>
  <si>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</si>
  <si>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</si>
  <si>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</si>
  <si>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</si>
  <si>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</si>
  <si>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</si>
  <si>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</si>
  <si>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</si>
  <si>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</si>
  <si>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</si>
  <si>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</si>
  <si>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</si>
  <si>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</si>
  <si>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</si>
  <si>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</si>
  <si>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</si>
  <si>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</si>
  <si>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</si>
  <si>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</si>
  <si>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</si>
  <si>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</si>
  <si>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</si>
  <si>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</si>
  <si>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</si>
  <si>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</si>
  <si>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</si>
  <si>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</si>
  <si>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</si>
  <si>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</si>
  <si>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</si>
  <si>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</si>
  <si>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</si>
  <si>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</si>
  <si>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</si>
  <si>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</si>
  <si>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</si>
  <si>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</si>
  <si>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</si>
  <si>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</si>
  <si>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</si>
  <si>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</si>
  <si>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</si>
  <si>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</si>
  <si>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</si>
  <si>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</si>
  <si>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</si>
  <si>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</si>
  <si>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</si>
  <si>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</si>
  <si>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</si>
  <si>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</si>
  <si>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</si>
  <si>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</si>
  <si>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</si>
  <si>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</si>
  <si>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</si>
  <si>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</si>
  <si>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</si>
  <si>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</si>
  <si>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</si>
  <si>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</si>
  <si>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</si>
  <si>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</si>
  <si>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</si>
  <si>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</si>
  <si>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</si>
  <si>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</si>
  <si>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</si>
  <si>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</si>
  <si>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</si>
  <si>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</si>
  <si>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</si>
  <si>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</si>
  <si>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</si>
  <si>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</si>
  <si>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</si>
  <si>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</si>
  <si>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</si>
  <si>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</si>
  <si>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</si>
  <si>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</si>
  <si>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</si>
  <si>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</si>
  <si>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</si>
  <si>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</si>
  <si>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</si>
  <si>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</si>
  <si>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</si>
  <si>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</si>
  <si>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</si>
  <si>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</si>
  <si>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</si>
  <si>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</si>
  <si>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</si>
  <si>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</si>
  <si>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</si>
  <si>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</si>
  <si>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</si>
  <si>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</si>
  <si>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</si>
  <si>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</si>
  <si>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</si>
  <si>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</si>
  <si>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</si>
  <si>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</si>
  <si>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</si>
  <si>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</si>
  <si>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</si>
  <si>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</si>
  <si>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</si>
  <si>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</si>
  <si>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</si>
  <si>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</si>
  <si>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</si>
  <si>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</si>
  <si>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</si>
  <si>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</si>
  <si>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</si>
  <si>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</si>
  <si>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</si>
  <si>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</si>
  <si>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</si>
  <si>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</si>
  <si>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</si>
  <si>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</si>
  <si>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</si>
  <si>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</si>
  <si>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</si>
  <si>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</si>
  <si>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</si>
  <si>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</si>
  <si>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</si>
  <si>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</si>
  <si>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</si>
  <si>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</si>
  <si>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</si>
  <si>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</si>
  <si>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</si>
  <si>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</si>
  <si>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</si>
  <si>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</si>
  <si>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</si>
  <si>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</si>
  <si>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</si>
  <si>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</si>
  <si>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</si>
  <si>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</si>
  <si>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</si>
  <si>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</si>
  <si>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</si>
  <si>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</si>
  <si>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</si>
  <si>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</si>
  <si>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</si>
  <si>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</si>
  <si>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</si>
  <si>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</si>
  <si>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</si>
  <si>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</si>
  <si>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</si>
  <si>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</si>
  <si>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</si>
  <si>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</si>
  <si>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</si>
  <si>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</si>
  <si>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</si>
  <si>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</si>
  <si>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</si>
  <si>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</si>
  <si>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</si>
  <si>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</si>
  <si>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</si>
  <si>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</si>
  <si>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</si>
  <si>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</si>
  <si>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</si>
  <si>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</si>
  <si>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</si>
  <si>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</si>
  <si>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</si>
  <si>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</si>
  <si>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</si>
  <si>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</si>
  <si>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</si>
  <si>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</si>
  <si>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</si>
  <si>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</si>
  <si>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</si>
  <si>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</si>
  <si>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</si>
  <si>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</si>
  <si>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</si>
  <si>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</si>
  <si>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</si>
  <si>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</si>
  <si>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</si>
  <si>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</si>
  <si>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</si>
  <si>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</si>
  <si>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</si>
  <si>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</si>
  <si>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</si>
  <si>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</si>
  <si>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</si>
  <si>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</si>
  <si>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</si>
  <si>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</si>
  <si>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</si>
  <si>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</si>
  <si>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</si>
  <si>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</si>
  <si>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</si>
  <si>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</si>
  <si>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</si>
  <si>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</si>
  <si>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</si>
  <si>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</si>
  <si>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</si>
  <si>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</si>
  <si>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</si>
  <si>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</si>
  <si>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</si>
  <si>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</si>
  <si>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</si>
  <si>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</si>
  <si>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</si>
  <si>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</si>
  <si>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</si>
  <si>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</si>
  <si>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</si>
  <si>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</si>
  <si>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</si>
  <si>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</si>
  <si>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</si>
  <si>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</si>
  <si>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</si>
  <si>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</si>
  <si>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</si>
  <si>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</si>
  <si>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</si>
  <si>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</si>
  <si>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</si>
  <si>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</si>
  <si>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</si>
  <si>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</si>
  <si>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</si>
  <si>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</si>
  <si>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</si>
  <si>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</si>
  <si>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</si>
  <si>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</si>
  <si>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</si>
  <si>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</si>
  <si>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</si>
  <si>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</si>
  <si>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</si>
  <si>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</si>
  <si>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</si>
  <si>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</si>
  <si>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</si>
  <si>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</si>
  <si>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</si>
  <si>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</si>
  <si>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</si>
  <si>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</si>
  <si>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</si>
  <si>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</si>
  <si>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</si>
  <si>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</si>
  <si>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</si>
  <si>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</si>
  <si>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</si>
  <si>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</si>
  <si>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</si>
  <si>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</si>
  <si>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</si>
  <si>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</si>
  <si>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</si>
  <si>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</si>
  <si>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</si>
  <si>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</si>
  <si>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</si>
  <si>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</si>
  <si>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</si>
  <si>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</si>
  <si>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</si>
  <si>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</si>
  <si>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</si>
  <si>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</si>
  <si>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</si>
  <si>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</si>
  <si>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</si>
  <si>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</si>
  <si>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</si>
  <si>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</si>
  <si>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</si>
  <si>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</si>
  <si>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</si>
  <si>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</si>
  <si>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</si>
  <si>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</si>
  <si>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</si>
  <si>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</si>
  <si>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</si>
  <si>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</si>
  <si>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</si>
  <si>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</si>
  <si>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</si>
  <si>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</si>
  <si>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</si>
  <si>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</si>
  <si>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</si>
  <si>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</si>
  <si>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</si>
  <si>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</si>
  <si>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</si>
  <si>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</si>
  <si>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</si>
  <si>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</si>
  <si>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</si>
  <si>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</si>
  <si>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</si>
  <si>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</si>
  <si>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</si>
  <si>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</si>
  <si>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</si>
  <si>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</si>
  <si>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</si>
  <si>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</si>
  <si>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</si>
  <si>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</si>
  <si>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</si>
  <si>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</si>
  <si>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</si>
  <si>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</si>
  <si>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</si>
  <si>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</si>
  <si>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</si>
  <si>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</si>
  <si>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</si>
  <si>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</si>
  <si>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</si>
  <si>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</si>
  <si>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</si>
  <si>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</si>
  <si>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</si>
  <si>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</si>
  <si>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</si>
  <si>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</si>
  <si>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</si>
  <si>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</si>
  <si>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</si>
  <si>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</si>
  <si>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</si>
  <si>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</si>
  <si>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</si>
  <si>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</si>
  <si>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</si>
  <si>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</si>
  <si>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</si>
  <si>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</si>
  <si>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</si>
  <si>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</si>
  <si>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</si>
  <si>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</si>
  <si>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</si>
  <si>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</si>
  <si>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</si>
  <si>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</si>
  <si>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</si>
  <si>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</si>
  <si>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</si>
  <si>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</si>
  <si>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</si>
  <si>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</si>
  <si>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</si>
  <si>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</si>
  <si>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</si>
  <si>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</si>
  <si>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</si>
  <si>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</si>
  <si>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</si>
  <si>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</si>
  <si>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</si>
  <si>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</si>
  <si>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</si>
  <si>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</si>
  <si>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</si>
  <si>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</si>
  <si>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</si>
  <si>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</si>
  <si>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</si>
  <si>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</si>
  <si>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</si>
  <si>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</si>
  <si>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</si>
  <si>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</si>
  <si>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</si>
  <si>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</si>
  <si>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</si>
  <si>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</si>
  <si>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</si>
  <si>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</si>
  <si>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</si>
  <si>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</si>
  <si>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</si>
  <si>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</si>
  <si>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</si>
  <si>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</si>
  <si>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</si>
  <si>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</si>
  <si>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</si>
  <si>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</si>
  <si>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</si>
  <si>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</si>
  <si>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</si>
  <si>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</si>
  <si>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</si>
  <si>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</si>
  <si>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</si>
  <si>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</si>
  <si>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</si>
  <si>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</si>
  <si>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</si>
  <si>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</si>
  <si>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</si>
  <si>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</si>
  <si>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</si>
  <si>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</si>
  <si>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</si>
  <si>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</si>
  <si>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</si>
  <si>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</si>
  <si>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</si>
  <si>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</si>
  <si>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</si>
  <si>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</si>
  <si>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</si>
  <si>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</si>
  <si>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</si>
  <si>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</si>
  <si>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</si>
  <si>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</si>
  <si>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</si>
  <si>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</si>
  <si>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</si>
  <si>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</si>
  <si>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</si>
  <si>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</si>
  <si>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</si>
  <si>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</si>
  <si>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</si>
  <si>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</si>
  <si>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</si>
  <si>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</si>
  <si>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</si>
  <si>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</si>
  <si>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</si>
  <si>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</si>
  <si>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</si>
  <si>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</si>
  <si>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</si>
  <si>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</si>
  <si>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</si>
  <si>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</si>
  <si>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</si>
  <si>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</si>
  <si>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</si>
  <si>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</si>
  <si>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</si>
  <si>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</si>
  <si>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</si>
  <si>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</si>
  <si>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</si>
  <si>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</si>
  <si>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</si>
  <si>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</si>
  <si>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</si>
  <si>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</si>
  <si>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</si>
  <si>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</si>
  <si>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</si>
  <si>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</si>
  <si>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</si>
  <si>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</si>
  <si>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</si>
  <si>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</si>
  <si>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</si>
  <si>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</si>
  <si>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</si>
  <si>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</si>
  <si>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</si>
  <si>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</si>
  <si>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</si>
  <si>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</si>
  <si>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</si>
  <si>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</si>
  <si>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</si>
  <si>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</si>
  <si>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</si>
  <si>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</si>
  <si>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</si>
  <si>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</si>
  <si>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</si>
  <si>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</si>
  <si>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</si>
  <si>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</si>
  <si>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</si>
  <si>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</si>
  <si>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</si>
  <si>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</si>
  <si>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</si>
  <si>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</si>
  <si>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</si>
  <si>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</si>
  <si>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</si>
  <si>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</si>
  <si>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</si>
  <si>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</si>
  <si>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</si>
  <si>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</si>
  <si>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</si>
  <si>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</si>
  <si>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</si>
  <si>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</si>
  <si>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</si>
  <si>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</si>
  <si>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</si>
  <si>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</si>
  <si>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</si>
  <si>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</si>
  <si>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</si>
  <si>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</si>
  <si>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</si>
  <si>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</si>
  <si>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</si>
  <si>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</si>
  <si>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</si>
  <si>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</si>
  <si>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</si>
  <si>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</si>
  <si>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</si>
  <si>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</si>
  <si>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</si>
  <si>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</si>
  <si>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</si>
  <si>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</si>
  <si>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</si>
  <si>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</si>
  <si>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</si>
  <si>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</si>
  <si>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</si>
  <si>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</si>
  <si>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</si>
  <si>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</si>
  <si>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</si>
  <si>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</si>
  <si>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</si>
  <si>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</si>
  <si>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</si>
  <si>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</si>
  <si>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</si>
  <si>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</si>
  <si>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</si>
  <si>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</si>
  <si>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</si>
  <si>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</si>
  <si>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</si>
  <si>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</si>
  <si>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</si>
  <si>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</si>
  <si>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</si>
  <si>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</si>
  <si>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</si>
  <si>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</si>
  <si>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</si>
  <si>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</si>
  <si>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</si>
  <si>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</si>
  <si>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</si>
  <si>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</si>
  <si>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</si>
  <si>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</si>
  <si>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</si>
  <si>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</si>
  <si>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</si>
  <si>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</si>
  <si>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</si>
  <si>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</si>
  <si>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</si>
  <si>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</si>
  <si>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</si>
  <si>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</si>
  <si>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</si>
  <si>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</si>
  <si>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</si>
  <si>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</si>
  <si>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</si>
  <si>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</si>
  <si>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</si>
  <si>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</si>
  <si>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</si>
  <si>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</si>
  <si>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</si>
  <si>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</si>
  <si>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</si>
  <si>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</si>
  <si>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</si>
  <si>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</si>
  <si>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</si>
  <si>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</si>
  <si>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</si>
  <si>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</si>
  <si>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</si>
  <si>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</si>
  <si>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</si>
  <si>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</si>
  <si>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</si>
  <si>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</si>
  <si>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</si>
  <si>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</si>
  <si>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</si>
  <si>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</si>
  <si>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</si>
  <si>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</si>
  <si>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</si>
  <si>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</si>
  <si>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</si>
  <si>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</si>
  <si>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</si>
  <si>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</si>
  <si>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</si>
  <si>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</si>
  <si>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</si>
  <si>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</si>
  <si>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</si>
  <si>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</si>
  <si>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</si>
  <si>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</si>
  <si>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</si>
  <si>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</si>
  <si>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</si>
  <si>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</si>
  <si>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</si>
  <si>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</si>
  <si>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</si>
  <si>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</si>
  <si>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</si>
  <si>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</si>
  <si>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</si>
  <si>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</si>
  <si>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</si>
  <si>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</si>
  <si>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</si>
  <si>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</si>
  <si>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</si>
  <si>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</si>
  <si>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</si>
  <si>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</si>
  <si>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</si>
  <si>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</si>
  <si>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</si>
  <si>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</si>
  <si>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</si>
  <si>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</si>
  <si>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</si>
  <si>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</si>
  <si>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</si>
  <si>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</si>
  <si>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</si>
  <si>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</si>
  <si>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</si>
  <si>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</si>
  <si>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</si>
  <si>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</si>
  <si>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</si>
  <si>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</si>
  <si>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</si>
  <si>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</si>
  <si>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</si>
  <si>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</si>
  <si>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</si>
  <si>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</si>
  <si>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</si>
  <si>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</si>
  <si>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</si>
  <si>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</si>
  <si>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</si>
  <si>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</si>
  <si>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</si>
  <si>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</si>
  <si>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</si>
  <si>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</si>
  <si>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</si>
  <si>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</si>
  <si>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</si>
  <si>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</si>
  <si>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</si>
  <si>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</si>
  <si>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</si>
  <si>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</si>
  <si>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</si>
  <si>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</si>
  <si>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</si>
  <si>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</si>
  <si>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</si>
  <si>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</si>
  <si>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</si>
  <si>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</si>
  <si>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</si>
  <si>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</si>
  <si>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</si>
  <si>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</si>
  <si>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</si>
  <si>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</si>
  <si>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</si>
  <si>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</si>
  <si>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</si>
  <si>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</si>
  <si>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</si>
  <si>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</si>
  <si>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</si>
  <si>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</si>
  <si>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</si>
  <si>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</si>
  <si>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</si>
  <si>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</si>
  <si>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</si>
  <si>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</si>
  <si>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</si>
  <si>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</si>
  <si>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</si>
  <si>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</si>
  <si>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</si>
  <si>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</si>
  <si>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</si>
  <si>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</si>
  <si>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</si>
  <si>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</si>
  <si>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</si>
  <si>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</si>
  <si>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</si>
  <si>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</si>
  <si>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</si>
  <si>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</si>
  <si>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</si>
  <si>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</si>
  <si>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</si>
  <si>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</si>
  <si>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</si>
  <si>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</si>
  <si>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</si>
  <si>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</si>
  <si>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</si>
  <si>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</si>
  <si>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</si>
  <si>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</si>
  <si>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</si>
  <si>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</si>
  <si>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</si>
  <si>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</si>
  <si>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</si>
  <si>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</si>
  <si>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</si>
  <si>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</si>
  <si>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</si>
  <si>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</si>
  <si>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</si>
  <si>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</si>
  <si>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</si>
  <si>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</si>
  <si>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</si>
  <si>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</si>
  <si>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</si>
  <si>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</si>
  <si>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</si>
  <si>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</si>
  <si>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</si>
  <si>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</si>
  <si>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</si>
  <si>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</si>
  <si>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</si>
  <si>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</si>
  <si>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</si>
  <si>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</si>
  <si>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</si>
  <si>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</si>
  <si>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</si>
  <si>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</si>
  <si>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</si>
  <si>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</si>
  <si>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</si>
  <si>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</si>
  <si>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</si>
  <si>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</si>
  <si>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</si>
  <si>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</si>
  <si>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</si>
  <si>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</si>
  <si>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</si>
  <si>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</si>
  <si>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</si>
  <si>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</si>
  <si>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</si>
  <si>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r>
      <t xml:space="preserve">OK </t>
    </r>
    <r>
      <rPr>
        <sz val="11"/>
        <color theme="1"/>
        <rFont val="Santander Text"/>
        <family val="2"/>
      </rPr>
      <t>(Em falta portfolio Project Finance)</t>
    </r>
  </si>
  <si>
    <t>20/12: Conclusão de teste ao campo</t>
  </si>
  <si>
    <t>20/12: Conclusão de teste aos campos</t>
  </si>
  <si>
    <t>Pendente Mapeamento Categoria SFICS</t>
  </si>
  <si>
    <t>Entrega #4 (Incidências)</t>
  </si>
  <si>
    <t>X</t>
  </si>
  <si>
    <t>Entrega #1 (Pendência)</t>
  </si>
  <si>
    <t>Entrega #3 (Pendência)</t>
  </si>
  <si>
    <t>Em Re-especificação</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</si>
  <si>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</si>
  <si>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</si>
  <si>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</si>
  <si>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</si>
  <si>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</si>
  <si>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</si>
  <si>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</si>
  <si>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</si>
  <si>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</si>
  <si>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r>
      <t>Sumário Executivo</t>
    </r>
    <r>
      <rPr>
        <b/>
        <sz val="14"/>
        <color theme="4"/>
        <rFont val="Santander Text"/>
        <family val="2"/>
      </rPr>
      <t xml:space="preserve"> |</t>
    </r>
    <r>
      <rPr>
        <b/>
        <sz val="11"/>
        <color theme="4"/>
        <rFont val="Santander Text"/>
        <family val="2"/>
      </rPr>
      <t>10 de janeiro a 17 de janeiro</t>
    </r>
  </si>
  <si>
    <t>CURRENT_ENERGY_RATING_PERCENTAGE</t>
  </si>
  <si>
    <t>PROPERTY_ENERGY_CERTIFICATECURRENT_ENERGY_RATING_PERCENTAGE</t>
  </si>
  <si>
    <t>Novo campo Adicionado</t>
  </si>
  <si>
    <r>
      <t xml:space="preserve">1. Testes:
Tabela de Clientes (lt003_entity): </t>
    </r>
    <r>
      <rPr>
        <sz val="11"/>
        <color theme="1"/>
        <rFont val="Santander Text"/>
        <family val="2"/>
      </rPr>
      <t xml:space="preserve">
- Foram fechados 7 campos, número superior ao previsto.
</t>
    </r>
    <r>
      <rPr>
        <b/>
        <sz val="11"/>
        <color theme="1"/>
        <rFont val="Santander Text"/>
        <family val="2"/>
      </rPr>
      <t>Tabela de Contratos (lt002_instrument):</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Tabela da relação do Contrato/Categoria (lt007_instr_activity):</t>
    </r>
    <r>
      <rPr>
        <sz val="11"/>
        <color theme="1"/>
        <rFont val="Santander Text"/>
        <family val="2"/>
      </rPr>
      <t xml:space="preserve">
- 1 não foi possível testar por dependência do alinhamento da especificação da tabela de parametrização e da output de Marcação Verde
</t>
    </r>
    <r>
      <rPr>
        <b/>
        <sz val="11"/>
        <color theme="1"/>
        <rFont val="Santander Text"/>
        <family val="2"/>
      </rPr>
      <t xml:space="preserve">
Tabela de Garantias (lt004_protection):</t>
    </r>
    <r>
      <rPr>
        <sz val="11"/>
        <color theme="1"/>
        <rFont val="Santander Text"/>
        <family val="2"/>
      </rPr>
      <t xml:space="preserve">
- Concluído 1 campo, conforme previsto.
</t>
    </r>
  </si>
  <si>
    <t>Planeado</t>
  </si>
  <si>
    <t>-&gt; 12 campos Gloval + Campo Novo + 4 campos Tabela Certificados</t>
  </si>
  <si>
    <t>-&gt; 3 campos para incluir Project Finance [Depende do MV] + 2 campos pendentes da Marcação Verde</t>
  </si>
  <si>
    <t>- Concluídos 3 campos da tabela de Clientes do Modelo Verde;
- Concluídos 8 campos do Pilar III</t>
  </si>
  <si>
    <t xml:space="preserve">-&gt; 12 campos Marcação Verde + Campo Parametrização + Code Nace + 6 campos para incluir Projet Finance </t>
  </si>
  <si>
    <r>
      <rPr>
        <b/>
        <sz val="11"/>
        <color theme="1"/>
        <rFont val="Santander Text"/>
        <family val="2"/>
      </rPr>
      <t>1. Datas de entrega de Tecnologia:</t>
    </r>
    <r>
      <rPr>
        <sz val="11"/>
        <color theme="1"/>
        <rFont val="Santander Text"/>
        <family val="2"/>
      </rPr>
      <t xml:space="preserve">
- Emissões Project Finance (Tabela de Clientes) (6 campos) -&gt; 27/01
- Novo input Project Finance (Tabela de Clientes): 23/01
</t>
    </r>
    <r>
      <rPr>
        <b/>
        <sz val="11"/>
        <color theme="1"/>
        <rFont val="Santander Text"/>
        <family val="2"/>
      </rPr>
      <t xml:space="preserve">2. Testes:
</t>
    </r>
    <r>
      <rPr>
        <sz val="11"/>
        <color theme="1"/>
        <rFont val="Santander Text"/>
        <family val="2"/>
      </rPr>
      <t xml:space="preserve">
</t>
    </r>
    <r>
      <rPr>
        <b/>
        <sz val="11"/>
        <color theme="1"/>
        <rFont val="Santander Text"/>
        <family val="2"/>
      </rPr>
      <t xml:space="preserve">Tabela de Output de Clientes: </t>
    </r>
    <r>
      <rPr>
        <sz val="11"/>
        <color theme="1"/>
        <rFont val="Santander Text"/>
        <family val="2"/>
      </rPr>
      <t xml:space="preserve">
- Foram concluídos os 3 campos previstos testar esta semana.
- Partilhada a re-especificação de Project Finance. Adicionalmente foi realizada uma reunião com CDO para aprovação da nova tabela de Input necessária para o calculo de emissões de Project Finance. A mesma já foi validada e já enviamos a especifiação para Tecnologia.
Tabela de Bens Imóveis:
- Fechados 4 campos
</t>
    </r>
    <r>
      <rPr>
        <b/>
        <sz val="11"/>
        <color theme="1"/>
        <rFont val="Santander Text"/>
        <family val="2"/>
      </rPr>
      <t>Tabela de Parametrização Marcação Verde:</t>
    </r>
    <r>
      <rPr>
        <sz val="11"/>
        <color theme="1"/>
        <rFont val="Santander Text"/>
        <family val="2"/>
      </rPr>
      <t xml:space="preserve">
- Não foi possível testar a tabela de parametrização porque a especificação da mesma ainda não está concluída. A reunião de hoje servirá para concluir este tema.
</t>
    </r>
    <r>
      <rPr>
        <b/>
        <sz val="11"/>
        <color theme="1"/>
        <rFont val="Santander Text"/>
        <family val="2"/>
      </rPr>
      <t>Tabela de Output Marcação Verde:</t>
    </r>
    <r>
      <rPr>
        <sz val="11"/>
        <color theme="1"/>
        <rFont val="Santander Text"/>
        <family val="2"/>
      </rPr>
      <t xml:space="preserve">
- Foram realizadas várias sessões com a área de CdG e ESG Risk para alinhamento da especificação de Marcação Verde. Está agendada uma reunião para hoje para fecho do tema.
</t>
    </r>
  </si>
  <si>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</si>
  <si>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r>
      <rPr>
        <b/>
        <sz val="11"/>
        <rFont val="Santander Text"/>
        <family val="2"/>
      </rPr>
      <t>1. Testes:
Gloval:</t>
    </r>
    <r>
      <rPr>
        <sz val="11"/>
        <rFont val="Santander Text"/>
        <family val="2"/>
      </rPr>
      <t xml:space="preserve">
- Foram realizadas reuniões para alinhamento do processo da Gloval. Já foi alinhada a solução final e iremos avançar na re-especificação para posterior implementação.
</t>
    </r>
    <r>
      <rPr>
        <b/>
        <sz val="11"/>
        <rFont val="Santander Text"/>
        <family val="2"/>
      </rPr>
      <t xml:space="preserve">
Tabela de Certificados:</t>
    </r>
    <r>
      <rPr>
        <sz val="11"/>
        <rFont val="Santander Text"/>
        <family val="2"/>
      </rPr>
      <t xml:space="preserve">
- Adicionalmente, já temos a validação de CDO para inclusão do novo campo na tabela de Certificados Energéticos. Iremos também re-especificar e enviar para tecnologia.
- Foram reabertos 4 campos da tabela de certificados para incluir a lógica da escolha do registo da Gloval que estava na tabela acumulados da Gloval, uma vez que esta foi desconsiderada.</t>
    </r>
    <r>
      <rPr>
        <b/>
        <sz val="11"/>
        <color theme="1"/>
        <rFont val="Santander Text"/>
        <family val="2"/>
      </rPr>
      <t xml:space="preserve">
</t>
    </r>
    <r>
      <rPr>
        <sz val="11"/>
        <rFont val="Santander Text"/>
        <family val="2"/>
      </rPr>
      <t xml:space="preserve">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</si>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</sst>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8">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b/>
      <sz val="11"/>
      <color theme="9" tint="-0.499984740745262"/>
      <name val="Santander Text"/>
      <family val="2"/>
    </font>
    <font>
      <sz val="11"/>
      <color theme="4"/>
      <name val="Calibri"/>
      <family val="2"/>
    </font>
    <font>
      <sz val="10"/>
      <color theme="1"/>
      <name val="Santander Text"/>
    </font>
    <font>
      <sz val="11"/>
      <color theme="1"/>
      <name val="Santander Text"/>
    </font>
    <font>
      <sz val="11"/>
      <color theme="2"/>
      <name val="Santander Text"/>
    </font>
    <font>
      <sz val="11"/>
      <name val="Santander Text"/>
    </font>
    <font>
      <i/>
      <sz val="10"/>
      <color theme="1"/>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93">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71" fillId="0" borderId="0" xfId="0" applyFont="1"/>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2"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3" fillId="0" borderId="25" xfId="0" applyFont="1" applyBorder="1" applyAlignment="1">
      <alignment vertical="center"/>
    </xf>
    <xf numFmtId="0" fontId="73" fillId="0" borderId="25" xfId="0" applyFont="1" applyFill="1" applyBorder="1"/>
    <xf numFmtId="14" fontId="73" fillId="0" borderId="25" xfId="0" applyNumberFormat="1" applyFont="1" applyBorder="1"/>
    <xf numFmtId="0" fontId="74" fillId="0" borderId="2" xfId="0" applyFont="1" applyBorder="1" applyAlignment="1">
      <alignment vertical="center"/>
    </xf>
    <xf numFmtId="0" fontId="74" fillId="0" borderId="1" xfId="0" applyFont="1" applyBorder="1" applyAlignment="1">
      <alignment vertical="center"/>
    </xf>
    <xf numFmtId="0" fontId="75" fillId="0" borderId="6" xfId="0" applyNumberFormat="1" applyFont="1" applyBorder="1" applyAlignment="1">
      <alignment vertical="center"/>
    </xf>
    <xf numFmtId="0" fontId="76" fillId="0" borderId="5" xfId="0" applyNumberFormat="1" applyFont="1" applyBorder="1" applyAlignment="1">
      <alignment vertical="center"/>
    </xf>
    <xf numFmtId="0" fontId="74" fillId="0" borderId="4" xfId="0" applyNumberFormat="1" applyFont="1" applyBorder="1" applyAlignment="1">
      <alignment vertical="center"/>
    </xf>
    <xf numFmtId="0" fontId="74" fillId="0" borderId="0" xfId="0" applyFont="1" applyAlignment="1">
      <alignment vertical="center"/>
    </xf>
    <xf numFmtId="16" fontId="76" fillId="0" borderId="1" xfId="0" applyNumberFormat="1" applyFont="1" applyBorder="1" applyAlignment="1">
      <alignment vertical="center"/>
    </xf>
    <xf numFmtId="16" fontId="74" fillId="0" borderId="1" xfId="0" applyNumberFormat="1" applyFont="1" applyBorder="1" applyAlignment="1">
      <alignment vertical="center"/>
    </xf>
    <xf numFmtId="0" fontId="74"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7"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66" fillId="15" borderId="33" xfId="0" applyFont="1" applyFill="1" applyBorder="1" applyAlignment="1">
      <alignment horizontal="center" vertical="center"/>
    </xf>
    <xf numFmtId="0" fontId="20" fillId="15" borderId="33" xfId="0" applyFont="1" applyFill="1" applyBorder="1" applyAlignment="1">
      <alignment horizontal="center" vertical="center"/>
    </xf>
    <xf numFmtId="14" fontId="77" fillId="0" borderId="10" xfId="0" applyNumberFormat="1" applyFont="1" applyBorder="1"/>
  </cellXfs>
  <cellStyles count="4">
    <cellStyle name="Normal" xfId="0" builtinId="0"/>
    <cellStyle name="Normal 2" xfId="3"/>
    <cellStyle name="Normal 3" xfId="2"/>
    <cellStyle name="Percent" xfId="1" builtinId="5"/>
  </cellStyles>
  <dxfs count="455">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accent1"/>
          </a:solidFill>
          <a:ln>
            <a:noFill/>
          </a:ln>
          <a:effectLst/>
        </c:spPr>
        <c:marker>
          <c:symbol val="none"/>
        </c:marker>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spPr>
          <a:solidFill>
            <a:schemeClr val="accent4"/>
          </a:solidFill>
          <a:ln>
            <a:noFill/>
          </a:ln>
          <a:effectLst/>
        </c:spP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6"/>
          </a:solidFill>
          <a:ln>
            <a:noFill/>
          </a:ln>
          <a:effectLst/>
        </c:spPr>
        <c:marker>
          <c:symbol val="none"/>
        </c:marker>
      </c:pivotFmt>
      <c:pivotFmt>
        <c:idx val="6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accent1"/>
            </a:solidFill>
            <a:ln>
              <a:noFill/>
            </a:ln>
            <a:effectLst/>
          </c:spPr>
          <c:invertIfNegative val="0"/>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tx2"/>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41</c:v>
                </c:pt>
                <c:pt idx="4">
                  <c:v>16</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Re-especificação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5</c:v>
                </c:pt>
                <c:pt idx="4">
                  <c:v>2</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7. Por iniciar</c:v>
                </c:pt>
              </c:strCache>
            </c:strRef>
          </c:tx>
          <c:spPr>
            <a:solidFill>
              <a:schemeClr val="accent6"/>
            </a:solidFill>
            <a:ln>
              <a:noFill/>
            </a:ln>
            <a:effectLst/>
          </c:spPr>
          <c:invertIfNegative val="0"/>
          <c:dPt>
            <c:idx val="3"/>
            <c:invertIfNegative val="0"/>
            <c:bubble3D val="0"/>
            <c:spPr>
              <a:solidFill>
                <a:srgbClr val="FF0000"/>
              </a:solidFill>
              <a:ln>
                <a:noFill/>
              </a:ln>
              <a:effectLst/>
            </c:spPr>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5">
                  <c:v>5</c:v>
                </c:pt>
              </c:numCache>
            </c:numRef>
          </c:val>
          <c:extLst>
            <c:ext xmlns:c16="http://schemas.microsoft.com/office/drawing/2014/chart" uri="{C3380CC4-5D6E-409C-BE32-E72D297353CC}">
              <c16:uniqueId val="{00000007-C407-449A-9EF4-59AA26240CF6}"/>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tx2"/>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4"/>
          </a:solidFill>
          <a:ln>
            <a:solidFill>
              <a:schemeClr val="bg1"/>
            </a:solidFill>
          </a:ln>
          <a:effectLst/>
        </c:spPr>
      </c:pivotFmt>
      <c:pivotFmt>
        <c:idx val="46"/>
        <c:spPr>
          <a:solidFill>
            <a:schemeClr val="accent6">
              <a:lumMod val="50000"/>
            </a:schemeClr>
          </a:solidFill>
          <a:ln>
            <a:solidFill>
              <a:schemeClr val="bg1"/>
            </a:solidFill>
          </a:ln>
          <a:effectLst/>
        </c:spPr>
      </c:pivotFmt>
      <c:pivotFmt>
        <c:idx val="47"/>
        <c:spPr>
          <a:solidFill>
            <a:schemeClr val="accent6"/>
          </a:solidFill>
          <a:ln>
            <a:solidFill>
              <a:schemeClr val="bg1"/>
            </a:solidFill>
          </a:ln>
          <a:effectLst/>
        </c:spPr>
      </c:pivotFmt>
      <c:pivotFmt>
        <c:idx val="48"/>
        <c:spPr>
          <a:solidFill>
            <a:srgbClr val="FF0000"/>
          </a:solidFill>
          <a:ln>
            <a:solidFill>
              <a:schemeClr val="bg1"/>
            </a:solidFill>
          </a:ln>
          <a:effectLst/>
        </c:spPr>
        <c:dLbl>
          <c:idx val="0"/>
          <c:layout>
            <c:manualLayout>
              <c:x val="1.2677902416088816E-2"/>
              <c:y val="3.55870016374924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tx2"/>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4"/>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5"/>
              <c:layout>
                <c:manualLayout>
                  <c:x val="1.2677902416088816E-2"/>
                  <c:y val="3.558700163749240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Re-especificação</c:v>
                </c:pt>
                <c:pt idx="3">
                  <c:v>3. Pendente de outros desenvolvimentos</c:v>
                </c:pt>
                <c:pt idx="4">
                  <c:v>4. Validação EF</c:v>
                </c:pt>
                <c:pt idx="5">
                  <c:v>7. Por iniciar</c:v>
                </c:pt>
              </c:strCache>
            </c:strRef>
          </c:cat>
          <c:val>
            <c:numRef>
              <c:f>'Aux - Pivots2'!$C$112:$C$118</c:f>
              <c:numCache>
                <c:formatCode>General</c:formatCode>
                <c:ptCount val="6"/>
                <c:pt idx="0">
                  <c:v>12</c:v>
                </c:pt>
                <c:pt idx="1">
                  <c:v>207</c:v>
                </c:pt>
                <c:pt idx="2">
                  <c:v>7</c:v>
                </c:pt>
                <c:pt idx="3">
                  <c:v>6</c:v>
                </c:pt>
                <c:pt idx="4">
                  <c:v>55</c:v>
                </c:pt>
                <c:pt idx="5">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tx2"/>
          </a:solidFill>
          <a:ln>
            <a:noFill/>
          </a:ln>
          <a:effectLst/>
        </c:spPr>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BC-40DF-8F6D-ED03F04091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dLbl>
              <c:idx val="0"/>
              <c:layout>
                <c:manualLayout>
                  <c:x val="0"/>
                  <c:y val="2.843115329070242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EF67-44D0-A53F-4AD8AEBFC0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3</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Re-especificação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1">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3</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1</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5. Em Correção</c:v>
                </c:pt>
              </c:strCache>
            </c:strRef>
          </c:tx>
          <c:spPr>
            <a:solidFill>
              <a:schemeClr val="accent6"/>
            </a:solidFill>
            <a:ln>
              <a:noFill/>
            </a:ln>
            <a:effectLst/>
          </c:spPr>
          <c:invertIfNegative val="0"/>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F-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accent1"/>
          </a:solidFill>
          <a:ln>
            <a:solidFill>
              <a:schemeClr val="bg1"/>
            </a:solidFill>
          </a:ln>
          <a:effectLst/>
        </c:spPr>
      </c:pivotFmt>
      <c:pivotFmt>
        <c:idx val="33"/>
        <c:spPr>
          <a:solidFill>
            <a:schemeClr val="accent1"/>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Pivots2'!$B$155:$B$162</c:f>
              <c:strCache>
                <c:ptCount val="7"/>
                <c:pt idx="0">
                  <c:v>1. Concluído</c:v>
                </c:pt>
                <c:pt idx="1">
                  <c:v>0. Cancelado</c:v>
                </c:pt>
                <c:pt idx="2">
                  <c:v>4. Validação EF</c:v>
                </c:pt>
                <c:pt idx="3">
                  <c:v>3. Pendente de outros desenvolvimentos</c:v>
                </c:pt>
                <c:pt idx="4">
                  <c:v>7. Por iniciar</c:v>
                </c:pt>
                <c:pt idx="5">
                  <c:v>2.2 Em Re-especificação</c:v>
                </c:pt>
                <c:pt idx="6">
                  <c:v>5. Em Correção</c:v>
                </c:pt>
              </c:strCache>
            </c:strRef>
          </c:cat>
          <c:val>
            <c:numRef>
              <c:f>'Aux - Pivots2'!$C$155:$C$162</c:f>
              <c:numCache>
                <c:formatCode>General</c:formatCode>
                <c:ptCount val="7"/>
                <c:pt idx="0">
                  <c:v>136</c:v>
                </c:pt>
                <c:pt idx="1">
                  <c:v>4</c:v>
                </c:pt>
                <c:pt idx="2">
                  <c:v>1</c:v>
                </c:pt>
                <c:pt idx="3">
                  <c:v>9</c:v>
                </c:pt>
                <c:pt idx="4">
                  <c:v>52</c:v>
                </c:pt>
                <c:pt idx="5">
                  <c:v>1</c:v>
                </c:pt>
                <c:pt idx="6">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6">
              <a:lumMod val="50000"/>
            </a:schemeClr>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spPr>
          <a:solidFill>
            <a:schemeClr val="accent6">
              <a:lumMod val="50000"/>
            </a:schemeClr>
          </a:solidFill>
          <a:ln>
            <a:noFill/>
          </a:ln>
          <a:effectLst/>
        </c:spPr>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Pivots2'!$B$24:$B$33</c:f>
              <c:strCache>
                <c:ptCount val="9"/>
                <c:pt idx="0">
                  <c:v>0. Cancelado</c:v>
                </c:pt>
                <c:pt idx="1">
                  <c:v>1. Concluído</c:v>
                </c:pt>
                <c:pt idx="2">
                  <c:v>2.1 Em Teste</c:v>
                </c:pt>
                <c:pt idx="3">
                  <c:v>3. Pendente de outros desenvolvimentos</c:v>
                </c:pt>
                <c:pt idx="4">
                  <c:v>4. Validação EF</c:v>
                </c:pt>
                <c:pt idx="5">
                  <c:v>5. Em Correção</c:v>
                </c:pt>
                <c:pt idx="6">
                  <c:v>6. Em implementação (re-especificação)</c:v>
                </c:pt>
                <c:pt idx="7">
                  <c:v>2.2 Em Re-especificação</c:v>
                </c:pt>
                <c:pt idx="8">
                  <c:v>7. Por iniciar</c:v>
                </c:pt>
              </c:strCache>
            </c:strRef>
          </c:cat>
          <c:val>
            <c:numRef>
              <c:f>'Aux - Pivots2'!$C$24:$C$33</c:f>
              <c:numCache>
                <c:formatCode>General</c:formatCode>
                <c:ptCount val="9"/>
                <c:pt idx="0">
                  <c:v>26</c:v>
                </c:pt>
                <c:pt idx="1">
                  <c:v>486</c:v>
                </c:pt>
                <c:pt idx="2">
                  <c:v>1</c:v>
                </c:pt>
                <c:pt idx="3">
                  <c:v>15</c:v>
                </c:pt>
                <c:pt idx="4">
                  <c:v>56</c:v>
                </c:pt>
                <c:pt idx="5">
                  <c:v>3</c:v>
                </c:pt>
                <c:pt idx="6">
                  <c:v>48</c:v>
                </c:pt>
                <c:pt idx="7">
                  <c:v>8</c:v>
                </c:pt>
                <c:pt idx="8">
                  <c:v>57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5.16_DE.xlsx]Aux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178</c:v>
                </c:pt>
                <c:pt idx="2">
                  <c:v>132</c:v>
                </c:pt>
                <c:pt idx="3">
                  <c:v>33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0">
                  <c:v>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6</c:v>
                </c:pt>
                <c:pt idx="2">
                  <c:v>9</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1">
                  <c:v>55</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Re-especificação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7</c:v>
                </c:pt>
                <c:pt idx="2">
                  <c:v>1</c:v>
                </c:pt>
              </c:numCache>
            </c:numRef>
          </c:val>
          <c:extLst>
            <c:ext xmlns:c16="http://schemas.microsoft.com/office/drawing/2014/chart" uri="{C3380CC4-5D6E-409C-BE32-E72D297353CC}">
              <c16:uniqueId val="{00000001-5C08-4456-B4FA-9DBDF3A65850}"/>
            </c:ext>
          </c:extLst>
        </c:ser>
        <c:ser>
          <c:idx val="8"/>
          <c:order val="8"/>
          <c:tx>
            <c:strRef>
              <c:f>'Aux - Pivots2'!$K$9:$K$10</c:f>
              <c:strCache>
                <c:ptCount val="1"/>
                <c:pt idx="0">
                  <c:v>7. Por iniciar</c:v>
                </c:pt>
              </c:strCache>
            </c:strRef>
          </c:tx>
          <c:spPr>
            <a:solidFill>
              <a:schemeClr val="accent3">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Pivots2'!$K$11:$K$15</c:f>
              <c:numCache>
                <c:formatCode>General</c:formatCode>
                <c:ptCount val="4"/>
                <c:pt idx="2">
                  <c:v>3</c:v>
                </c:pt>
                <c:pt idx="3">
                  <c:v>54</c:v>
                </c:pt>
              </c:numCache>
            </c:numRef>
          </c:val>
          <c:extLst>
            <c:ext xmlns:c16="http://schemas.microsoft.com/office/drawing/2014/chart" uri="{C3380CC4-5D6E-409C-BE32-E72D297353CC}">
              <c16:uniqueId val="{00000002-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84</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75</xdr:row>
      <xdr:rowOff>58238</xdr:rowOff>
    </xdr:from>
    <xdr:to>
      <xdr:col>14</xdr:col>
      <xdr:colOff>628099</xdr:colOff>
      <xdr:row>75</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76</xdr:row>
      <xdr:rowOff>56063</xdr:rowOff>
    </xdr:from>
    <xdr:to>
      <xdr:col>14</xdr:col>
      <xdr:colOff>628099</xdr:colOff>
      <xdr:row>76</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78</xdr:row>
      <xdr:rowOff>59332</xdr:rowOff>
    </xdr:from>
    <xdr:to>
      <xdr:col>14</xdr:col>
      <xdr:colOff>628099</xdr:colOff>
      <xdr:row>78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58791</xdr:rowOff>
    </xdr:from>
    <xdr:to>
      <xdr:col>14</xdr:col>
      <xdr:colOff>628099</xdr:colOff>
      <xdr:row>80</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58521</xdr:rowOff>
    </xdr:from>
    <xdr:to>
      <xdr:col>14</xdr:col>
      <xdr:colOff>628099</xdr:colOff>
      <xdr:row>81</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60414</xdr:rowOff>
    </xdr:from>
    <xdr:to>
      <xdr:col>14</xdr:col>
      <xdr:colOff>621111</xdr:colOff>
      <xdr:row>98</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103</xdr:row>
      <xdr:rowOff>61051</xdr:rowOff>
    </xdr:from>
    <xdr:to>
      <xdr:col>14</xdr:col>
      <xdr:colOff>624921</xdr:colOff>
      <xdr:row>103</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104</xdr:row>
      <xdr:rowOff>63293</xdr:rowOff>
    </xdr:from>
    <xdr:to>
      <xdr:col>14</xdr:col>
      <xdr:colOff>624921</xdr:colOff>
      <xdr:row>104</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56346</xdr:rowOff>
    </xdr:from>
    <xdr:to>
      <xdr:col>14</xdr:col>
      <xdr:colOff>621111</xdr:colOff>
      <xdr:row>106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105</xdr:row>
      <xdr:rowOff>63629</xdr:rowOff>
    </xdr:from>
    <xdr:to>
      <xdr:col>14</xdr:col>
      <xdr:colOff>624921</xdr:colOff>
      <xdr:row>105</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133</xdr:row>
      <xdr:rowOff>56604</xdr:rowOff>
    </xdr:from>
    <xdr:to>
      <xdr:col>14</xdr:col>
      <xdr:colOff>624919</xdr:colOff>
      <xdr:row>133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134</xdr:row>
      <xdr:rowOff>58608</xdr:rowOff>
    </xdr:from>
    <xdr:to>
      <xdr:col>14</xdr:col>
      <xdr:colOff>628729</xdr:colOff>
      <xdr:row>134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135</xdr:row>
      <xdr:rowOff>54897</xdr:rowOff>
    </xdr:from>
    <xdr:to>
      <xdr:col>14</xdr:col>
      <xdr:colOff>628729</xdr:colOff>
      <xdr:row>135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137</xdr:row>
      <xdr:rowOff>63989</xdr:rowOff>
    </xdr:from>
    <xdr:to>
      <xdr:col>14</xdr:col>
      <xdr:colOff>625339</xdr:colOff>
      <xdr:row>137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138</xdr:row>
      <xdr:rowOff>56048</xdr:rowOff>
    </xdr:from>
    <xdr:to>
      <xdr:col>14</xdr:col>
      <xdr:colOff>628729</xdr:colOff>
      <xdr:row>138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139</xdr:row>
      <xdr:rowOff>56146</xdr:rowOff>
    </xdr:from>
    <xdr:to>
      <xdr:col>14</xdr:col>
      <xdr:colOff>628729</xdr:colOff>
      <xdr:row>139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141</xdr:row>
      <xdr:rowOff>60156</xdr:rowOff>
    </xdr:from>
    <xdr:to>
      <xdr:col>14</xdr:col>
      <xdr:colOff>624919</xdr:colOff>
      <xdr:row>141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140</xdr:row>
      <xdr:rowOff>54340</xdr:rowOff>
    </xdr:from>
    <xdr:to>
      <xdr:col>14</xdr:col>
      <xdr:colOff>628729</xdr:colOff>
      <xdr:row>140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97</xdr:row>
      <xdr:rowOff>76535</xdr:rowOff>
    </xdr:from>
    <xdr:to>
      <xdr:col>14</xdr:col>
      <xdr:colOff>246753</xdr:colOff>
      <xdr:row>120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96</xdr:row>
      <xdr:rowOff>45017</xdr:rowOff>
    </xdr:from>
    <xdr:to>
      <xdr:col>5</xdr:col>
      <xdr:colOff>956836</xdr:colOff>
      <xdr:row>109</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132</xdr:row>
      <xdr:rowOff>37660</xdr:rowOff>
    </xdr:from>
    <xdr:to>
      <xdr:col>14</xdr:col>
      <xdr:colOff>401732</xdr:colOff>
      <xdr:row>152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132</xdr:row>
      <xdr:rowOff>46501</xdr:rowOff>
    </xdr:from>
    <xdr:to>
      <xdr:col>6</xdr:col>
      <xdr:colOff>108857</xdr:colOff>
      <xdr:row>144</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161</xdr:row>
      <xdr:rowOff>60414</xdr:rowOff>
    </xdr:from>
    <xdr:to>
      <xdr:col>14</xdr:col>
      <xdr:colOff>621111</xdr:colOff>
      <xdr:row>161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162</xdr:row>
      <xdr:rowOff>57538</xdr:rowOff>
    </xdr:from>
    <xdr:to>
      <xdr:col>14</xdr:col>
      <xdr:colOff>621111</xdr:colOff>
      <xdr:row>162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163</xdr:row>
      <xdr:rowOff>56118</xdr:rowOff>
    </xdr:from>
    <xdr:to>
      <xdr:col>14</xdr:col>
      <xdr:colOff>621111</xdr:colOff>
      <xdr:row>163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164</xdr:row>
      <xdr:rowOff>60189</xdr:rowOff>
    </xdr:from>
    <xdr:to>
      <xdr:col>14</xdr:col>
      <xdr:colOff>632959</xdr:colOff>
      <xdr:row>164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165</xdr:row>
      <xdr:rowOff>74234</xdr:rowOff>
    </xdr:from>
    <xdr:to>
      <xdr:col>14</xdr:col>
      <xdr:colOff>621111</xdr:colOff>
      <xdr:row>165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166</xdr:row>
      <xdr:rowOff>74943</xdr:rowOff>
    </xdr:from>
    <xdr:to>
      <xdr:col>14</xdr:col>
      <xdr:colOff>621111</xdr:colOff>
      <xdr:row>166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168</xdr:row>
      <xdr:rowOff>56346</xdr:rowOff>
    </xdr:from>
    <xdr:to>
      <xdr:col>14</xdr:col>
      <xdr:colOff>621111</xdr:colOff>
      <xdr:row>168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167</xdr:row>
      <xdr:rowOff>92090</xdr:rowOff>
    </xdr:from>
    <xdr:to>
      <xdr:col>14</xdr:col>
      <xdr:colOff>621111</xdr:colOff>
      <xdr:row>167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163</xdr:row>
      <xdr:rowOff>130394</xdr:rowOff>
    </xdr:from>
    <xdr:to>
      <xdr:col>14</xdr:col>
      <xdr:colOff>369793</xdr:colOff>
      <xdr:row>166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159</xdr:row>
      <xdr:rowOff>78081</xdr:rowOff>
    </xdr:from>
    <xdr:to>
      <xdr:col>6</xdr:col>
      <xdr:colOff>327030</xdr:colOff>
      <xdr:row>171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84</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77</xdr:row>
      <xdr:rowOff>53887</xdr:rowOff>
    </xdr:from>
    <xdr:to>
      <xdr:col>14</xdr:col>
      <xdr:colOff>628099</xdr:colOff>
      <xdr:row>77</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62872</xdr:rowOff>
    </xdr:from>
    <xdr:to>
      <xdr:col>14</xdr:col>
      <xdr:colOff>628099</xdr:colOff>
      <xdr:row>79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101</xdr:row>
      <xdr:rowOff>59522</xdr:rowOff>
    </xdr:from>
    <xdr:to>
      <xdr:col>14</xdr:col>
      <xdr:colOff>634864</xdr:colOff>
      <xdr:row>101</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136</xdr:row>
      <xdr:rowOff>56900</xdr:rowOff>
    </xdr:from>
    <xdr:to>
      <xdr:col>14</xdr:col>
      <xdr:colOff>645244</xdr:colOff>
      <xdr:row>136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82771" y="3347357"/>
          <a:ext cx="1897743"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Diogo Alexandre Escaleira" refreshedDate="45688.531577430556"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iogo Alexandre Escaleira" refreshedDate="45688.531590277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iogo Alexandre Escaleira" refreshedDate="45688.5315925925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iogo Alexandre Escaleira" refreshedDate="45688.53159548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iogo Alexandre Escaleira" refreshedDate="45688.5315979166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9">
        <s v="0. Cancelado"/>
        <s v="1. Concluído"/>
        <s v="2.2 Em Re-especificação"/>
        <s v="3. Pendente de outros desenvolvimentos"/>
        <s v="4. Validação EF"/>
        <s v="5. Em Correção"/>
        <s v="7. Por iniciar"/>
        <s v="6. Em implementação (re-especificação)" u="1"/>
        <s v="2.1 Em Teste" u="1"/>
      </sharedItems>
    </cacheField>
    <cacheField name="[Measures].[Count of Campo 4]" caption="Count of Campo 4" numFmtId="0" hierarchy="60" level="32767"/>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iogo Alexandre Escaleira" refreshedDate="45688.53160034722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6. Em implementação (re-especificação)"/>
        <s v="2.2 Em Re-especificação" u="1"/>
        <s v="4. Validação EF"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iogo Alexandre Escaleira" refreshedDate="45688.53160243055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8">
        <s v="0. Cancelado"/>
        <s v="1. Concluído"/>
        <s v="2.2 Em Re-especificação"/>
        <s v="3. Pendente de outros desenvolvimentos"/>
        <s v="4. Validação EF"/>
        <s v="7. Por iniciar"/>
        <s v="6. Em implementação (re-especificação)" u="1"/>
        <s v="2.1 Em Teste" u="1"/>
      </sharedItems>
    </cacheField>
  </cacheFields>
  <cacheHierarchies count="6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Diogo Alexandre Escaleira" refreshedDate="45688.531621064816" createdVersion="6" refreshedVersion="6" minRefreshableVersion="3" recordCount="719">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0">
        <s v="6. Em implementação (re-especificação)"/>
        <s v="1. Concluído"/>
        <s v="0. Cancelado"/>
        <s v="2.1 Em Teste"/>
        <s v="4. Validação EF"/>
        <s v="7. Por iniciar"/>
        <s v="2.2 Em Re-especificação"/>
        <s v="3. Pendente de outros desenvolvimentos"/>
        <s v="5. Em Correção"/>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ntainsBlank="1" count="4">
        <s v="Bens Imóveis"/>
        <s v="Modelo Verde"/>
        <m/>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4. Validação EF"/>
    <m/>
    <s v=""/>
    <s v=""/>
    <s v=""/>
    <m/>
    <m/>
    <x v="0"/>
  </r>
  <r>
    <x v="0"/>
    <s v="Bens Imóveis - Input"/>
    <x v="1"/>
    <s v="ENERGY_CERTIFICATE_EST_INPUT"/>
    <s v="CHAVE_GLOVAL"/>
    <x v="0"/>
    <s v="4. Validação EF"/>
    <m/>
    <s v=""/>
    <s v=""/>
    <s v=""/>
    <m/>
    <m/>
    <x v="0"/>
  </r>
  <r>
    <x v="0"/>
    <s v="Bens Imóveis - Input"/>
    <x v="1"/>
    <s v="ENERGY_CERTIFICATE_EST_INPUT"/>
    <s v="PROPERTY_BANK_ID"/>
    <x v="0"/>
    <s v="4. Validação EF"/>
    <m/>
    <s v=""/>
    <s v=""/>
    <s v=""/>
    <m/>
    <m/>
    <x v="0"/>
  </r>
  <r>
    <x v="0"/>
    <s v="Bens Imóveis - Input"/>
    <x v="1"/>
    <s v="ENERGY_CERTIFICATE_EST_INPUT"/>
    <s v="PROPERTY_BRANCH_CODE"/>
    <x v="0"/>
    <s v="4. Validação EF"/>
    <m/>
    <s v=""/>
    <s v=""/>
    <s v=""/>
    <m/>
    <m/>
    <x v="0"/>
  </r>
  <r>
    <x v="0"/>
    <s v="Bens Imóveis - Input"/>
    <x v="1"/>
    <s v="ENERGY_CERTIFICATE_EST_INPUT"/>
    <s v="PROPERTY_CONTRACT_ID"/>
    <x v="0"/>
    <s v="4. Validação EF"/>
    <m/>
    <s v=""/>
    <s v=""/>
    <s v=""/>
    <m/>
    <m/>
    <x v="0"/>
  </r>
  <r>
    <x v="0"/>
    <s v="Bens Imóveis - Input"/>
    <x v="1"/>
    <s v="ENERGY_CERTIFICATE_EST_INPUT"/>
    <s v="PROPERTY_REFERENCE_CODE"/>
    <x v="0"/>
    <s v="4. Validação EF"/>
    <m/>
    <s v=""/>
    <s v=""/>
    <s v=""/>
    <m/>
    <m/>
    <x v="0"/>
  </r>
  <r>
    <x v="0"/>
    <s v="Bens Imóveis - Input"/>
    <x v="1"/>
    <s v="ENERGY_CERTIFICATE_EST_INPUT"/>
    <s v="CÓDIGO_DISTRITO"/>
    <x v="0"/>
    <s v="4. Validação EF"/>
    <m/>
    <s v=""/>
    <s v=""/>
    <s v=""/>
    <m/>
    <m/>
    <x v="0"/>
  </r>
  <r>
    <x v="0"/>
    <s v="Bens Imóveis - Input"/>
    <x v="1"/>
    <s v="ENERGY_CERTIFICATE_EST_INPUT"/>
    <s v="NOMBRE_DISTRITO"/>
    <x v="0"/>
    <s v="4. Validação EF"/>
    <m/>
    <s v=""/>
    <s v=""/>
    <s v=""/>
    <m/>
    <m/>
    <x v="0"/>
  </r>
  <r>
    <x v="0"/>
    <s v="Bens Imóveis - Input"/>
    <x v="1"/>
    <s v="ENERGY_CERTIFICATE_EST_INPUT"/>
    <s v="CÓDIGO_CONCEJO"/>
    <x v="0"/>
    <s v="4. Validação EF"/>
    <m/>
    <s v=""/>
    <s v=""/>
    <s v=""/>
    <m/>
    <m/>
    <x v="0"/>
  </r>
  <r>
    <x v="0"/>
    <s v="Bens Imóveis - Input"/>
    <x v="1"/>
    <s v="ENERGY_CERTIFICATE_EST_INPUT"/>
    <s v="NOMBRE_CONCEJO"/>
    <x v="0"/>
    <s v="4. Validação EF"/>
    <m/>
    <s v=""/>
    <s v=""/>
    <s v=""/>
    <m/>
    <m/>
    <x v="0"/>
  </r>
  <r>
    <x v="0"/>
    <s v="Bens Imóveis - Input"/>
    <x v="1"/>
    <s v="ENERGY_CERTIFICATE_EST_INPUT"/>
    <s v="CÓDIGO_FREGUESIA"/>
    <x v="0"/>
    <s v="4. Validação EF"/>
    <m/>
    <s v=""/>
    <s v=""/>
    <s v=""/>
    <m/>
    <m/>
    <x v="0"/>
  </r>
  <r>
    <x v="0"/>
    <s v="Bens Imóveis - Input"/>
    <x v="1"/>
    <s v="ENERGY_CERTIFICATE_EST_INPUT"/>
    <s v="NOMBRE_FREGUESIA"/>
    <x v="0"/>
    <s v="4. Validação EF"/>
    <m/>
    <s v=""/>
    <s v=""/>
    <s v=""/>
    <m/>
    <m/>
    <x v="0"/>
  </r>
  <r>
    <x v="0"/>
    <s v="Bens Imóveis - Input"/>
    <x v="1"/>
    <s v="ENERGY_CERTIFICATE_EST_INPUT"/>
    <s v="LOCALIDADE"/>
    <x v="0"/>
    <m/>
    <m/>
    <s v=""/>
    <s v=""/>
    <s v=""/>
    <m/>
    <m/>
    <x v="0"/>
  </r>
  <r>
    <x v="0"/>
    <s v="Bens Imóveis - Input"/>
    <x v="1"/>
    <s v="ENERGY_CERTIFICATE_EST_INPUT"/>
    <s v="TIPO_VIA"/>
    <x v="0"/>
    <m/>
    <m/>
    <s v=""/>
    <s v=""/>
    <s v=""/>
    <m/>
    <m/>
    <x v="0"/>
  </r>
  <r>
    <x v="0"/>
    <s v="Bens Imóveis - Input"/>
    <x v="1"/>
    <s v="ENERGY_CERTIFICATE_EST_INPUT"/>
    <s v="NOMBRE_TIPO_VIA"/>
    <x v="0"/>
    <m/>
    <m/>
    <s v=""/>
    <s v=""/>
    <s v=""/>
    <m/>
    <m/>
    <x v="0"/>
  </r>
  <r>
    <x v="0"/>
    <s v="Bens Imóveis - Input"/>
    <x v="1"/>
    <s v="ENERGY_CERTIFICATE_EST_INPUT"/>
    <s v="NOMBRE_VIA"/>
    <x v="0"/>
    <m/>
    <m/>
    <s v=""/>
    <s v=""/>
    <s v=""/>
    <m/>
    <m/>
    <x v="0"/>
  </r>
  <r>
    <x v="0"/>
    <s v="Bens Imóveis - Input"/>
    <x v="1"/>
    <s v="ENERGY_CERTIFICATE_EST_INPUT"/>
    <s v="NUMERO_VIA"/>
    <x v="0"/>
    <m/>
    <m/>
    <s v=""/>
    <s v=""/>
    <s v=""/>
    <m/>
    <m/>
    <x v="0"/>
  </r>
  <r>
    <x v="0"/>
    <s v="Bens Imóveis - Input"/>
    <x v="1"/>
    <s v="ENERGY_CERTIFICATE_EST_INPUT"/>
    <s v="LOTE"/>
    <x v="0"/>
    <m/>
    <m/>
    <s v=""/>
    <s v=""/>
    <s v=""/>
    <m/>
    <m/>
    <x v="0"/>
  </r>
  <r>
    <x v="0"/>
    <s v="Bens Imóveis - Input"/>
    <x v="1"/>
    <s v="ENERGY_CERTIFICATE_EST_INPUT"/>
    <s v="URBANIZACION"/>
    <x v="0"/>
    <m/>
    <m/>
    <s v=""/>
    <s v=""/>
    <s v=""/>
    <m/>
    <m/>
    <x v="0"/>
  </r>
  <r>
    <x v="0"/>
    <s v="Bens Imóveis - Input"/>
    <x v="1"/>
    <s v="ENERGY_CERTIFICATE_EST_INPUT"/>
    <s v="CAGLURB"/>
    <x v="0"/>
    <m/>
    <m/>
    <s v=""/>
    <s v=""/>
    <s v=""/>
    <m/>
    <m/>
    <x v="0"/>
  </r>
  <r>
    <x v="0"/>
    <s v="Bens Imóveis - Input"/>
    <x v="1"/>
    <s v="ENERGY_CERTIFICATE_EST_INPUT"/>
    <s v="RESTO_DIRECCION"/>
    <x v="0"/>
    <m/>
    <m/>
    <s v=""/>
    <s v=""/>
    <s v=""/>
    <m/>
    <m/>
    <x v="0"/>
  </r>
  <r>
    <x v="0"/>
    <s v="Bens Imóveis - Input"/>
    <x v="1"/>
    <s v="ENERGY_CERTIFICATE_EST_INPUT"/>
    <s v="LATITUDE"/>
    <x v="0"/>
    <m/>
    <m/>
    <s v=""/>
    <s v=""/>
    <s v=""/>
    <m/>
    <m/>
    <x v="0"/>
  </r>
  <r>
    <x v="0"/>
    <s v="Bens Imóveis - Input"/>
    <x v="1"/>
    <s v="ENERGY_CERTIFICATE_EST_INPUT"/>
    <s v="LONGITUDE"/>
    <x v="0"/>
    <m/>
    <m/>
    <s v=""/>
    <s v=""/>
    <s v=""/>
    <m/>
    <m/>
    <x v="0"/>
  </r>
  <r>
    <x v="0"/>
    <s v="Bens Imóveis - Input"/>
    <x v="1"/>
    <s v="ENERGY_CERTIFICATE_EST_INPUT"/>
    <s v="CODIGO_POSTAL"/>
    <x v="0"/>
    <m/>
    <m/>
    <s v=""/>
    <s v=""/>
    <s v=""/>
    <m/>
    <m/>
    <x v="0"/>
  </r>
  <r>
    <x v="0"/>
    <s v="Bens Imóveis - Input"/>
    <x v="1"/>
    <s v="ENERGY_CERTIFICATE_EST_INPUT"/>
    <s v="SUBCODIGO_POSTAL"/>
    <x v="0"/>
    <m/>
    <m/>
    <s v=""/>
    <s v=""/>
    <s v=""/>
    <m/>
    <m/>
    <x v="0"/>
  </r>
  <r>
    <x v="0"/>
    <s v="Bens Imóveis - Input"/>
    <x v="1"/>
    <s v="ENERGY_CERTIFICATE_EST_INPUT"/>
    <s v="ASSUPERFICIE_UTIL"/>
    <x v="0"/>
    <m/>
    <m/>
    <s v=""/>
    <s v=""/>
    <s v=""/>
    <m/>
    <m/>
    <x v="0"/>
  </r>
  <r>
    <x v="0"/>
    <s v="Bens Imóveis - Input"/>
    <x v="1"/>
    <s v="ENERGY_CERTIFICATE_EST_INPUT"/>
    <s v="ANIO_CONSTRUCCION"/>
    <x v="0"/>
    <m/>
    <m/>
    <s v=""/>
    <s v=""/>
    <s v=""/>
    <m/>
    <m/>
    <x v="0"/>
  </r>
  <r>
    <x v="0"/>
    <s v="Bens Imóveis - Input"/>
    <x v="1"/>
    <s v="ENERGY_CERTIFICATE_EST_INPUT"/>
    <s v="TIPO_INMUEBLE_HABITACAO"/>
    <x v="0"/>
    <m/>
    <m/>
    <s v=""/>
    <s v=""/>
    <s v=""/>
    <m/>
    <m/>
    <x v="0"/>
  </r>
  <r>
    <x v="0"/>
    <s v="Bens Imóveis - Input"/>
    <x v="1"/>
    <s v="ENERGY_CERTIFICATE_EST_INPUT"/>
    <s v="PISO_APARTAMENTO"/>
    <x v="0"/>
    <m/>
    <m/>
    <s v=""/>
    <s v=""/>
    <s v=""/>
    <m/>
    <m/>
    <x v="0"/>
  </r>
  <r>
    <x v="0"/>
    <s v="Bens Imóveis - Input"/>
    <x v="1"/>
    <s v="ENERGY_CERTIFICATE_EST_INPUT"/>
    <s v="CASA_UNIFAMILIAR"/>
    <x v="0"/>
    <m/>
    <m/>
    <s v=""/>
    <s v=""/>
    <s v=""/>
    <m/>
    <m/>
    <x v="0"/>
  </r>
  <r>
    <x v="0"/>
    <s v="Bens Imóveis - Input"/>
    <x v="1"/>
    <s v="ENERGY_CERTIFICATE_EST_INPUT"/>
    <s v="TIPO_INMUEBLE_COMERCIO_SERVICOS"/>
    <x v="0"/>
    <m/>
    <m/>
    <s v=""/>
    <s v=""/>
    <s v=""/>
    <m/>
    <m/>
    <x v="0"/>
  </r>
  <r>
    <x v="0"/>
    <s v="Bens Imóveis - Input"/>
    <x v="1"/>
    <s v="ENERGY_CERTIFICATE_EST_INPUT"/>
    <s v="NOME_CONSERVATORIA"/>
    <x v="0"/>
    <m/>
    <m/>
    <s v=""/>
    <s v=""/>
    <s v=""/>
    <m/>
    <m/>
    <x v="0"/>
  </r>
  <r>
    <x v="0"/>
    <s v="Bens Imóveis - Input"/>
    <x v="1"/>
    <s v="ENERGY_CERTIFICATE_EST_INPUT"/>
    <s v="COD_CONSERVATORIA"/>
    <x v="0"/>
    <m/>
    <m/>
    <s v=""/>
    <s v=""/>
    <s v=""/>
    <m/>
    <m/>
    <x v="0"/>
  </r>
  <r>
    <x v="0"/>
    <s v="Bens Imóveis - Input"/>
    <x v="1"/>
    <s v="ENERGY_CERTIFICATE_EST_INPUT"/>
    <s v="REGISTRO_CONSERVATORIA"/>
    <x v="0"/>
    <m/>
    <m/>
    <s v=""/>
    <s v=""/>
    <s v=""/>
    <m/>
    <m/>
    <x v="0"/>
  </r>
  <r>
    <x v="0"/>
    <s v="Bens Imóveis - Input"/>
    <x v="1"/>
    <s v="ENERGY_CERTIFICATE_EST_INPUT"/>
    <s v="ART_MATRICIAIS"/>
    <x v="0"/>
    <m/>
    <m/>
    <s v=""/>
    <s v=""/>
    <s v=""/>
    <m/>
    <m/>
    <x v="0"/>
  </r>
  <r>
    <x v="0"/>
    <s v="Bens Imóveis - Input"/>
    <x v="1"/>
    <s v="ENERGY_CERTIFICATE_EST_INPUT"/>
    <s v="FRACCAO_AUTONOMA"/>
    <x v="0"/>
    <m/>
    <m/>
    <s v=""/>
    <s v=""/>
    <s v=""/>
    <m/>
    <m/>
    <x v="0"/>
  </r>
  <r>
    <x v="0"/>
    <s v="Bens Imóveis - Input"/>
    <x v="1"/>
    <s v="ENERGY_CERTIFICATE_EST_INPUT"/>
    <s v="FINALIDADE_BEM"/>
    <x v="0"/>
    <m/>
    <m/>
    <s v=""/>
    <s v=""/>
    <s v=""/>
    <m/>
    <m/>
    <x v="0"/>
  </r>
  <r>
    <x v="0"/>
    <s v="Bens Imóveis - Input"/>
    <x v="1"/>
    <s v="ENERGY_CERTIFICATE_EST_INPUT"/>
    <s v="CLASS_GPT31"/>
    <x v="0"/>
    <m/>
    <m/>
    <s v=""/>
    <s v=""/>
    <s v=""/>
    <m/>
    <m/>
    <x v="0"/>
  </r>
  <r>
    <x v="0"/>
    <s v="Bens Imóveis - Input"/>
    <x v="1"/>
    <s v="ENERGY_CERTIFICATE_EST_INPUT"/>
    <s v="CLASS_STCLIM"/>
    <x v="0"/>
    <m/>
    <m/>
    <s v=""/>
    <s v=""/>
    <s v=""/>
    <m/>
    <m/>
    <x v="0"/>
  </r>
  <r>
    <x v="0"/>
    <s v="Bens Imóveis - Input"/>
    <x v="1"/>
    <s v="ENERGY_CERTIFICATE_EST_INPUT"/>
    <s v="CONF_STCLIM"/>
    <x v="0"/>
    <m/>
    <m/>
    <s v=""/>
    <s v=""/>
    <s v=""/>
    <m/>
    <m/>
    <x v="0"/>
  </r>
  <r>
    <x v="0"/>
    <s v="Bens Imóveis - Input"/>
    <x v="1"/>
    <s v="ENERGY_CERTIFICATE_EST_INPUT"/>
    <s v="CLASSE_ENERGETICA"/>
    <x v="0"/>
    <m/>
    <m/>
    <s v=""/>
    <s v=""/>
    <s v=""/>
    <m/>
    <m/>
    <x v="0"/>
  </r>
  <r>
    <x v="0"/>
    <s v="Bens Imóveis - Input"/>
    <x v="1"/>
    <s v="ENERGY_CERTIFICATE_EST_INPUT"/>
    <s v="FIABILIDAD"/>
    <x v="0"/>
    <m/>
    <m/>
    <s v=""/>
    <s v=""/>
    <s v=""/>
    <m/>
    <m/>
    <x v="0"/>
  </r>
  <r>
    <x v="0"/>
    <s v="Bens Imóveis - Input"/>
    <x v="1"/>
    <s v="ENERGY_CERTIFICATE_EST_INPUT"/>
    <s v="EMISSIONES"/>
    <x v="0"/>
    <m/>
    <m/>
    <s v=""/>
    <s v=""/>
    <s v=""/>
    <m/>
    <m/>
    <x v="0"/>
  </r>
  <r>
    <x v="0"/>
    <s v="Bens Imóveis - Input"/>
    <x v="1"/>
    <s v="ENERGY_CERTIFICATE_EST_INPUT"/>
    <s v="CONSUMOS"/>
    <x v="0"/>
    <m/>
    <m/>
    <s v=""/>
    <s v=""/>
    <s v=""/>
    <m/>
    <m/>
    <x v="0"/>
  </r>
  <r>
    <x v="0"/>
    <s v="Bens Imóveis - Input"/>
    <x v="1"/>
    <s v="ENERGY_CERTIFICATE_EST_INPUT"/>
    <s v="DATA_ENVIO"/>
    <x v="0"/>
    <m/>
    <m/>
    <s v=""/>
    <s v=""/>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s v=""/>
    <s v=""/>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s v=""/>
    <s v=""/>
    <s v=""/>
    <m/>
    <m/>
    <x v="0"/>
  </r>
  <r>
    <x v="0"/>
    <s v="Bens Imóveis - Output"/>
    <x v="1"/>
    <s v="PROPERTY"/>
    <s v="CONSTRUCTION_COMPLETED_PCT"/>
    <x v="1"/>
    <s v="1. Concluído"/>
    <s v="22/07/2024: Entrega de campo para testes"/>
    <s v=""/>
    <s v=""/>
    <s v=""/>
    <m/>
    <m/>
    <x v="0"/>
  </r>
  <r>
    <x v="0"/>
    <s v="Bens Imóveis - Output"/>
    <x v="1"/>
    <s v="PROPERTY"/>
    <s v="DATA_DATE_PART"/>
    <x v="1"/>
    <s v="1. Concluído"/>
    <m/>
    <s v=""/>
    <s v=""/>
    <s v=""/>
    <m/>
    <m/>
    <x v="0"/>
  </r>
  <r>
    <x v="0"/>
    <s v="Bens Imóveis - Output"/>
    <x v="1"/>
    <s v="PROPERTY"/>
    <s v="PROPERTY_CODE"/>
    <x v="1"/>
    <s v="1. Concluíd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s v=""/>
    <m/>
    <m/>
    <x v="0"/>
  </r>
  <r>
    <x v="0"/>
    <s v="Bens Imóveis - Output"/>
    <x v="1"/>
    <s v="PROPERTY_ENERGY_CERTIFICATE"/>
    <s v="PROPERTY_IDENTIFICATION_CODE"/>
    <x v="1"/>
    <s v="1. Concluído"/>
    <m/>
    <s v=""/>
    <s v=""/>
    <s v=""/>
    <m/>
    <m/>
    <x v="0"/>
  </r>
  <r>
    <x v="0"/>
    <s v="Bens Imóveis - Output"/>
    <x v="1"/>
    <s v="PROPERTY_ENERGY_CERTIFICATE"/>
    <s v="ENERGY_CERTIFICATION_SYSTEM_CODE"/>
    <x v="1"/>
    <s v="1. Concluído"/>
    <m/>
    <s v=""/>
    <s v=""/>
    <s v=""/>
    <m/>
    <m/>
    <x v="0"/>
  </r>
  <r>
    <x v="0"/>
    <s v="Bens Imóveis - Output"/>
    <x v="1"/>
    <s v="PROPERTY_ENERGY_CERTIFICATE"/>
    <s v="EPC_ISSUING_DATE"/>
    <x v="1"/>
    <s v="1. Concluído"/>
    <m/>
    <s v=""/>
    <s v=""/>
    <s v=""/>
    <m/>
    <m/>
    <x v="0"/>
  </r>
  <r>
    <x v="0"/>
    <s v="Bens Imóveis - Output"/>
    <x v="1"/>
    <s v="PROPERTY_ENERGY_CERTIFICATE"/>
    <s v="EPC_EXPIRATION_DATE"/>
    <x v="1"/>
    <s v="1. Concluído"/>
    <m/>
    <s v=""/>
    <s v=""/>
    <s v=""/>
    <m/>
    <m/>
    <x v="0"/>
  </r>
  <r>
    <x v="0"/>
    <s v="Bens Imóveis - Output"/>
    <x v="1"/>
    <s v="PROPERTY_ENERGY_CERTIFICATE"/>
    <s v="EPC"/>
    <x v="0"/>
    <s v="1. Concluído"/>
    <m/>
    <s v=""/>
    <s v=""/>
    <s v=""/>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s v=""/>
    <m/>
    <m/>
    <x v="0"/>
  </r>
  <r>
    <x v="0"/>
    <s v="Bens Imóveis - Output"/>
    <x v="1"/>
    <s v="PROPERTY_ENERGY_CERTIFICATE"/>
    <s v="REN_ENERGY_EFFICIENCY_IND"/>
    <x v="1"/>
    <s v="1. Concluído"/>
    <m/>
    <s v=""/>
    <s v=""/>
    <s v=""/>
    <m/>
    <m/>
    <x v="0"/>
  </r>
  <r>
    <x v="0"/>
    <s v="Bens Imóveis - Output"/>
    <x v="1"/>
    <s v="PROPERTY_ENERGY_CERTIFICATE"/>
    <s v="NZEB_IND"/>
    <x v="1"/>
    <s v="1. Concluído"/>
    <m/>
    <s v=""/>
    <s v=""/>
    <s v=""/>
    <m/>
    <m/>
    <x v="0"/>
  </r>
  <r>
    <x v="0"/>
    <s v="Bens Imóveis - Output"/>
    <x v="1"/>
    <s v="PROPERTY_ENERGY_CERTIFICATE"/>
    <s v="ACTUAL_VALUE_IND"/>
    <x v="1"/>
    <s v="1. Concluído"/>
    <m/>
    <s v=""/>
    <s v=""/>
    <s v=""/>
    <m/>
    <m/>
    <x v="0"/>
  </r>
  <r>
    <x v="0"/>
    <s v="Bens Imóveis - Output"/>
    <x v="1"/>
    <s v="PROPERTY_ENERGY_CERTIFICATE"/>
    <s v="EP_SCORE"/>
    <x v="0"/>
    <s v="1. Concluído"/>
    <m/>
    <s v=""/>
    <s v=""/>
    <s v=""/>
    <m/>
    <m/>
    <x v="0"/>
  </r>
  <r>
    <x v="0"/>
    <s v="Bens Imóveis - Output"/>
    <x v="1"/>
    <s v="PROPERTY_ENERGY_CERTIFICATE"/>
    <s v="SOURCE_CODE"/>
    <x v="1"/>
    <s v="1. Concluído"/>
    <m/>
    <s v=""/>
    <s v=""/>
    <s v=""/>
    <m/>
    <m/>
    <x v="0"/>
  </r>
  <r>
    <x v="0"/>
    <s v="Bens Imóveis - Output"/>
    <x v="1"/>
    <s v="PROPERTY_ENERGY_CERTIFICATE"/>
    <s v="DATA_DATE_PART"/>
    <x v="1"/>
    <s v="1. Concluído"/>
    <m/>
    <s v=""/>
    <s v=""/>
    <s v=""/>
    <m/>
    <m/>
    <x v="0"/>
  </r>
  <r>
    <x v="0"/>
    <s v="Bens Imóveis - Output"/>
    <x v="1"/>
    <s v="PROPERTY_ENERGY_CERTIFICATE"/>
    <s v="CERTIFICATE_TYPE"/>
    <x v="1"/>
    <s v="1. Concluído"/>
    <m/>
    <s v=""/>
    <s v=""/>
    <s v=""/>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0"/>
    <s v="1. Concluído"/>
    <m/>
    <s v=""/>
    <s v=""/>
    <s v=""/>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0"/>
    <s v="1. Concluído"/>
    <m/>
    <s v=""/>
    <s v=""/>
    <s v=""/>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s v=""/>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s v=""/>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s v=""/>
    <m/>
    <m/>
    <x v="0"/>
  </r>
  <r>
    <x v="0"/>
    <s v="Bens Imóveis - Output"/>
    <x v="1"/>
    <s v="PROPERTY_ENERGY_CERTIFICATE"/>
    <s v="CADASTRAL_REGISTER_CODE"/>
    <x v="1"/>
    <s v="1. Concluído"/>
    <m/>
    <s v=""/>
    <s v=""/>
    <s v=""/>
    <m/>
    <m/>
    <x v="0"/>
  </r>
  <r>
    <x v="0"/>
    <s v="Bens Imóveis - Output"/>
    <x v="1"/>
    <s v="PROPERTY_ENERGY_CERTIFICATE"/>
    <s v="DISTRICT_MUNICIP_PARISH_CODE"/>
    <x v="1"/>
    <s v="1. Concluído"/>
    <m/>
    <s v=""/>
    <s v=""/>
    <s v=""/>
    <m/>
    <m/>
    <x v="0"/>
  </r>
  <r>
    <x v="0"/>
    <s v="Bens Imóveis - Output"/>
    <x v="1"/>
    <s v="PROPERTY_ENERGY_CERTIFICATE"/>
    <s v="PROPERTY_PURPOSE_CODE"/>
    <x v="1"/>
    <s v="1. Concluído"/>
    <m/>
    <s v=""/>
    <s v=""/>
    <s v=""/>
    <m/>
    <m/>
    <x v="0"/>
  </r>
  <r>
    <x v="0"/>
    <s v="Bens Imóveis - Output"/>
    <x v="1"/>
    <s v="PROPERTY_ENERGY_CERTIFICATE"/>
    <s v="ADDRESS_CODE"/>
    <x v="1"/>
    <s v="1. Concluído"/>
    <m/>
    <s v=""/>
    <s v=""/>
    <s v=""/>
    <m/>
    <m/>
    <x v="0"/>
  </r>
  <r>
    <x v="0"/>
    <s v="Bens Imóveis - Output"/>
    <x v="1"/>
    <s v="PROPERTY_ENERGY_CERTIFICATE"/>
    <s v="FLOOR_NUMBER"/>
    <x v="1"/>
    <s v="1. Concluído"/>
    <m/>
    <s v=""/>
    <s v=""/>
    <s v=""/>
    <m/>
    <m/>
    <x v="0"/>
  </r>
  <r>
    <x v="0"/>
    <s v="Bens Imóveis - Output"/>
    <x v="1"/>
    <s v="PROPERTY_ENERGY_CERTIFICATE"/>
    <s v="LOCALITY"/>
    <x v="1"/>
    <s v="1. Concluído"/>
    <m/>
    <s v=""/>
    <s v=""/>
    <s v=""/>
    <m/>
    <m/>
    <x v="0"/>
  </r>
  <r>
    <x v="0"/>
    <s v="Bens Imóveis - Output"/>
    <x v="1"/>
    <s v="PROPERTY_ENERGY_CERTIFICATE"/>
    <s v="CLIMATE_ZONE_SUMMER"/>
    <x v="1"/>
    <s v="1. Concluído"/>
    <m/>
    <s v=""/>
    <s v=""/>
    <s v=""/>
    <m/>
    <m/>
    <x v="0"/>
  </r>
  <r>
    <x v="0"/>
    <s v="Bens Imóveis - Output"/>
    <x v="1"/>
    <s v="PROPERTY_ENERGY_CERTIFICATE"/>
    <s v="CURRENT_ENERGY_RATING_PERCENTAGE"/>
    <x v="3"/>
    <m/>
    <s v="Novo campo Adicionado"/>
    <s v=""/>
    <s v=""/>
    <s v=""/>
    <m/>
    <m/>
    <x v="0"/>
  </r>
  <r>
    <x v="0"/>
    <s v="Modelo Verde - Input"/>
    <x v="0"/>
    <s v="modesg_param_sfics_taxon_europeia"/>
    <s v="n.a."/>
    <x v="4"/>
    <s v="1. Concluído"/>
    <m/>
    <s v=""/>
    <s v=""/>
    <s v=""/>
    <m/>
    <m/>
    <x v="1"/>
  </r>
  <r>
    <x v="0"/>
    <s v="Modelo Verde - Input"/>
    <x v="1"/>
    <s v="modesg_param_sfics_taxon_europeia"/>
    <s v="ref_date"/>
    <x v="4"/>
    <s v="1. Concluído"/>
    <m/>
    <s v=""/>
    <s v=""/>
    <s v=""/>
    <m/>
    <m/>
    <x v="1"/>
  </r>
  <r>
    <x v="0"/>
    <s v="Modelo Verde - Input"/>
    <x v="1"/>
    <s v="modesg_param_sfics_taxon_europeia"/>
    <s v="cod_regra"/>
    <x v="4"/>
    <s v="1. Concluído"/>
    <m/>
    <s v=""/>
    <s v=""/>
    <s v=""/>
    <m/>
    <m/>
    <x v="1"/>
  </r>
  <r>
    <x v="0"/>
    <s v="Modelo Verde - Input"/>
    <x v="1"/>
    <s v="modesg_param_sfics_taxon_europeia"/>
    <s v="dscrc"/>
    <x v="4"/>
    <s v="1. Concluído"/>
    <m/>
    <s v=""/>
    <s v=""/>
    <s v=""/>
    <m/>
    <m/>
    <x v="1"/>
  </r>
  <r>
    <x v="0"/>
    <s v="Modelo Verde - Input"/>
    <x v="1"/>
    <s v="modesg_param_sfics_taxon_europeia"/>
    <s v="comite"/>
    <x v="4"/>
    <s v="1. Concluído"/>
    <m/>
    <s v=""/>
    <s v=""/>
    <s v=""/>
    <m/>
    <m/>
    <x v="1"/>
  </r>
  <r>
    <x v="0"/>
    <s v="Modelo Verde - Input"/>
    <x v="1"/>
    <s v="modesg_param_sfics_taxon_europeia"/>
    <s v="data_aprvc"/>
    <x v="4"/>
    <m/>
    <m/>
    <s v=""/>
    <s v=""/>
    <s v=""/>
    <m/>
    <m/>
    <x v="1"/>
  </r>
  <r>
    <x v="0"/>
    <s v="Modelo Verde - Input"/>
    <x v="1"/>
    <s v="modesg_param_sfics_taxon_europeia"/>
    <s v="data_inicial"/>
    <x v="4"/>
    <m/>
    <m/>
    <s v=""/>
    <s v=""/>
    <s v=""/>
    <m/>
    <m/>
    <x v="1"/>
  </r>
  <r>
    <x v="0"/>
    <s v="Modelo Verde - Input"/>
    <x v="1"/>
    <s v="modesg_param_sfics_taxon_europeia"/>
    <s v="data_final"/>
    <x v="4"/>
    <m/>
    <m/>
    <s v=""/>
    <s v=""/>
    <s v=""/>
    <m/>
    <m/>
    <x v="1"/>
  </r>
  <r>
    <x v="0"/>
    <s v="Modelo Verde - Input"/>
    <x v="1"/>
    <s v="modesg_param_sfics_taxon_europeia"/>
    <s v="zcliente"/>
    <x v="4"/>
    <m/>
    <m/>
    <s v=""/>
    <s v=""/>
    <s v=""/>
    <m/>
    <m/>
    <x v="1"/>
  </r>
  <r>
    <x v="0"/>
    <s v="Modelo Verde - Input"/>
    <x v="1"/>
    <s v="modesg_param_sfics_taxon_europeia"/>
    <s v="contraparte"/>
    <x v="4"/>
    <m/>
    <m/>
    <s v=""/>
    <s v=""/>
    <s v=""/>
    <m/>
    <m/>
    <x v="1"/>
  </r>
  <r>
    <x v="0"/>
    <s v="Modelo Verde - Input"/>
    <x v="1"/>
    <s v="modesg_param_sfics_taxon_europeia"/>
    <s v="cempresa"/>
    <x v="4"/>
    <m/>
    <m/>
    <s v=""/>
    <s v=""/>
    <s v=""/>
    <m/>
    <m/>
    <x v="1"/>
  </r>
  <r>
    <x v="0"/>
    <s v="Modelo Verde - Input"/>
    <x v="1"/>
    <s v="modesg_param_sfics_taxon_europeia"/>
    <s v="cbalcao"/>
    <x v="4"/>
    <m/>
    <m/>
    <s v=""/>
    <s v=""/>
    <s v=""/>
    <m/>
    <m/>
    <x v="1"/>
  </r>
  <r>
    <x v="0"/>
    <s v="Modelo Verde - Input"/>
    <x v="1"/>
    <s v="modesg_param_sfics_taxon_europeia"/>
    <s v="cnumecta"/>
    <x v="4"/>
    <m/>
    <m/>
    <s v=""/>
    <s v=""/>
    <s v=""/>
    <m/>
    <m/>
    <x v="1"/>
  </r>
  <r>
    <x v="0"/>
    <s v="Modelo Verde - Input"/>
    <x v="1"/>
    <s v="modesg_param_sfics_taxon_europeia"/>
    <s v="zdeposit"/>
    <x v="4"/>
    <m/>
    <m/>
    <s v=""/>
    <s v=""/>
    <s v=""/>
    <m/>
    <m/>
    <x v="1"/>
  </r>
  <r>
    <x v="0"/>
    <s v="Modelo Verde - Input"/>
    <x v="1"/>
    <s v="modesg_param_sfics_taxon_europeia"/>
    <s v="ckmetamis"/>
    <x v="4"/>
    <m/>
    <m/>
    <s v=""/>
    <s v=""/>
    <s v=""/>
    <m/>
    <m/>
    <x v="1"/>
  </r>
  <r>
    <x v="0"/>
    <s v="Modelo Verde - Input"/>
    <x v="1"/>
    <s v="modesg_param_sfics_taxon_europeia"/>
    <s v="ckprodmi"/>
    <x v="4"/>
    <m/>
    <m/>
    <s v=""/>
    <s v=""/>
    <s v=""/>
    <m/>
    <m/>
    <x v="1"/>
  </r>
  <r>
    <x v="0"/>
    <s v="Modelo Verde - Input"/>
    <x v="1"/>
    <s v="modesg_param_sfics_taxon_europeia"/>
    <s v="prdt_sprdt"/>
    <x v="4"/>
    <m/>
    <m/>
    <s v=""/>
    <s v=""/>
    <s v=""/>
    <m/>
    <m/>
    <x v="1"/>
  </r>
  <r>
    <x v="0"/>
    <s v="Modelo Verde - Input"/>
    <x v="1"/>
    <s v="modesg_param_sfics_taxon_europeia"/>
    <s v="cmetanseg"/>
    <x v="4"/>
    <s v="1. Concluído"/>
    <m/>
    <s v=""/>
    <s v=""/>
    <s v=""/>
    <m/>
    <m/>
    <x v="1"/>
  </r>
  <r>
    <x v="0"/>
    <s v="Modelo Verde - Input"/>
    <x v="1"/>
    <s v="modesg_param_sfics_taxon_europeia"/>
    <s v="epc"/>
    <x v="4"/>
    <s v="1. Concluído"/>
    <m/>
    <s v=""/>
    <s v=""/>
    <s v=""/>
    <m/>
    <m/>
    <x v="1"/>
  </r>
  <r>
    <x v="0"/>
    <s v="Modelo Verde - Input"/>
    <x v="1"/>
    <s v="modesg_param_sfics_taxon_europeia"/>
    <s v="quality_score"/>
    <x v="4"/>
    <s v="1. Concluído"/>
    <m/>
    <s v=""/>
    <s v=""/>
    <s v=""/>
    <m/>
    <m/>
    <x v="1"/>
  </r>
  <r>
    <x v="0"/>
    <s v="Modelo Verde - Input"/>
    <x v="1"/>
    <s v="modesg_param_sfics_taxon_europeia"/>
    <s v="nzeb"/>
    <x v="4"/>
    <s v="1. Concluído"/>
    <m/>
    <s v=""/>
    <s v=""/>
    <s v=""/>
    <m/>
    <m/>
    <x v="1"/>
  </r>
  <r>
    <x v="0"/>
    <s v="Modelo Verde - Input"/>
    <x v="1"/>
    <s v="modesg_param_sfics_taxon_europeia"/>
    <s v="RIEE"/>
    <x v="4"/>
    <s v="1. Concluído"/>
    <m/>
    <s v=""/>
    <s v=""/>
    <s v=""/>
    <m/>
    <m/>
    <x v="1"/>
  </r>
  <r>
    <x v="0"/>
    <s v="Modelo Verde - Input"/>
    <x v="1"/>
    <s v="modesg_param_sfics_taxon_europeia"/>
    <s v="RNT"/>
    <x v="4"/>
    <s v="1. Concluído"/>
    <m/>
    <s v=""/>
    <s v=""/>
    <s v=""/>
    <m/>
    <m/>
    <x v="1"/>
  </r>
  <r>
    <x v="0"/>
    <s v="Modelo Verde - Input"/>
    <x v="1"/>
    <s v="modesg_param_sfics_taxon_europeia"/>
    <s v="flg_rsc_fsc_crnc"/>
    <x v="4"/>
    <s v="1. Concluído"/>
    <m/>
    <s v=""/>
    <s v=""/>
    <s v=""/>
    <m/>
    <m/>
    <x v="1"/>
  </r>
  <r>
    <x v="0"/>
    <s v="Modelo Verde - Input"/>
    <x v="1"/>
    <s v="modesg_param_sfics_taxon_europeia"/>
    <s v="flg_rsc_fsc_agd"/>
    <x v="4"/>
    <s v="1. Concluído"/>
    <m/>
    <s v=""/>
    <s v=""/>
    <s v=""/>
    <m/>
    <m/>
    <x v="1"/>
  </r>
  <r>
    <x v="0"/>
    <s v="Modelo Verde - Input"/>
    <x v="1"/>
    <s v="modesg_param_sfics_taxon_europeia"/>
    <s v="construction_year"/>
    <x v="4"/>
    <s v="1. Concluído"/>
    <m/>
    <s v=""/>
    <s v=""/>
    <s v=""/>
    <m/>
    <m/>
    <x v="1"/>
  </r>
  <r>
    <x v="0"/>
    <s v="Modelo Verde - Input"/>
    <x v="1"/>
    <s v="modesg_param_sfics_taxon_europeia"/>
    <s v="property_purpose_code"/>
    <x v="4"/>
    <s v="1. Concluído"/>
    <m/>
    <s v=""/>
    <s v=""/>
    <s v=""/>
    <m/>
    <m/>
    <x v="1"/>
  </r>
  <r>
    <x v="0"/>
    <s v="Modelo Verde - Input"/>
    <x v="1"/>
    <s v="modesg_param_sfics_taxon_europeia"/>
    <s v="cfamilia"/>
    <x v="4"/>
    <s v="1. Concluído"/>
    <m/>
    <s v=""/>
    <s v=""/>
    <s v=""/>
    <m/>
    <m/>
    <x v="1"/>
  </r>
  <r>
    <x v="0"/>
    <s v="Modelo Verde - Input"/>
    <x v="1"/>
    <s v="modesg_param_sfics_taxon_europeia"/>
    <s v="cfinalidad"/>
    <x v="4"/>
    <s v="1. Concluído"/>
    <m/>
    <s v=""/>
    <s v=""/>
    <s v=""/>
    <m/>
    <m/>
    <x v="1"/>
  </r>
  <r>
    <x v="0"/>
    <s v="Modelo Verde - Input"/>
    <x v="1"/>
    <s v="modesg_param_sfics_taxon_europeia"/>
    <s v="flag_project_finance"/>
    <x v="4"/>
    <s v="1. Concluído"/>
    <s v="Novo Campo - IT já implementou"/>
    <s v=""/>
    <s v=""/>
    <s v=""/>
    <m/>
    <m/>
    <x v="1"/>
  </r>
  <r>
    <x v="0"/>
    <s v="Modelo Verde - Input"/>
    <x v="1"/>
    <s v="modesg_param_sfics_taxon_europeia"/>
    <s v="tipo_eqp"/>
    <x v="4"/>
    <s v="1. Concluído"/>
    <s v="Novo Campo - IT já implementou"/>
    <s v=""/>
    <s v=""/>
    <s v=""/>
    <m/>
    <m/>
    <x v="1"/>
  </r>
  <r>
    <x v="0"/>
    <s v="Modelo Verde - Input"/>
    <x v="1"/>
    <s v="modesg_param_sfics_taxon_europeia"/>
    <s v="combustivel"/>
    <x v="4"/>
    <s v="1. Concluído"/>
    <s v="Novo Campo"/>
    <s v=""/>
    <s v=""/>
    <s v=""/>
    <m/>
    <m/>
    <x v="1"/>
  </r>
  <r>
    <x v="0"/>
    <s v="Modelo Verde - Input"/>
    <x v="1"/>
    <s v="modesg_param_sfics_taxon_europeia"/>
    <s v="co2"/>
    <x v="4"/>
    <s v="1. Concluído"/>
    <m/>
    <s v=""/>
    <s v=""/>
    <s v=""/>
    <m/>
    <m/>
    <x v="1"/>
  </r>
  <r>
    <x v="0"/>
    <s v="Modelo Verde - Input"/>
    <x v="1"/>
    <s v="modesg_param_sfics_taxon_europeia"/>
    <s v="cod_lease"/>
    <x v="4"/>
    <s v="4. Validação EF"/>
    <s v="13/09/2024: Dependente da atualização dos códigos de SFICS por parte da Corporação."/>
    <s v=""/>
    <s v=""/>
    <s v=""/>
    <m/>
    <m/>
    <x v="1"/>
  </r>
  <r>
    <x v="0"/>
    <s v="Modelo Verde - Input"/>
    <x v="1"/>
    <s v="modesg_param_sfics_taxon_europeia"/>
    <s v="dabertur"/>
    <x v="4"/>
    <s v="1. Concluído"/>
    <m/>
    <s v=""/>
    <s v=""/>
    <s v=""/>
    <m/>
    <m/>
    <x v="1"/>
  </r>
  <r>
    <x v="0"/>
    <s v="Modelo Verde - Input"/>
    <x v="1"/>
    <s v="modesg_param_sfics_taxon_europeia"/>
    <s v="flg_csrd"/>
    <x v="4"/>
    <s v="1. Concluído"/>
    <m/>
    <s v=""/>
    <s v=""/>
    <s v=""/>
    <m/>
    <m/>
    <x v="1"/>
  </r>
  <r>
    <x v="0"/>
    <s v="Modelo Verde - Input"/>
    <x v="1"/>
    <s v="modesg_param_sfics_taxon_europeia"/>
    <s v="nome_ctgr_sfics"/>
    <x v="4"/>
    <s v="1. Concluído"/>
    <m/>
    <s v=""/>
    <s v=""/>
    <s v=""/>
    <m/>
    <m/>
    <x v="1"/>
  </r>
  <r>
    <x v="0"/>
    <s v="Modelo Verde - Input"/>
    <x v="1"/>
    <s v="modesg_param_sfics_taxon_europeia"/>
    <s v="montante_pndrc"/>
    <x v="4"/>
    <s v="1. Concluído"/>
    <m/>
    <s v=""/>
    <s v=""/>
    <s v=""/>
    <m/>
    <m/>
    <x v="1"/>
  </r>
  <r>
    <x v="0"/>
    <s v="Modelo Verde - Input"/>
    <x v="1"/>
    <s v="modesg_param_sfics_taxon_europeia"/>
    <s v="nome_purpose_esg_alinh_tax"/>
    <x v="4"/>
    <s v="1. Concluído"/>
    <m/>
    <s v=""/>
    <s v=""/>
    <s v=""/>
    <m/>
    <m/>
    <x v="1"/>
  </r>
  <r>
    <x v="0"/>
    <s v="Modelo Verde - Input"/>
    <x v="1"/>
    <s v="modesg_param_sfics_taxon_europeia"/>
    <s v="nome_purpose_esg_nalinh_tax"/>
    <x v="4"/>
    <s v="1. Concluído"/>
    <m/>
    <s v=""/>
    <s v=""/>
    <s v=""/>
    <m/>
    <m/>
    <x v="1"/>
  </r>
  <r>
    <x v="0"/>
    <s v="Modelo Verde - Input"/>
    <x v="1"/>
    <s v="modesg_param_sfics_taxon_europeia"/>
    <s v="nome_general_specific_purpose"/>
    <x v="4"/>
    <s v="1. Concluído"/>
    <m/>
    <s v=""/>
    <s v=""/>
    <s v=""/>
    <m/>
    <m/>
    <x v="1"/>
  </r>
  <r>
    <x v="0"/>
    <s v="Modelo Verde - Input"/>
    <x v="1"/>
    <s v="modesg_param_sfics_taxon_europeia"/>
    <s v="nome_specific_eligible"/>
    <x v="4"/>
    <s v="0. Cancelado"/>
    <s v="26/09/2024: Remoção de campo"/>
    <s v=""/>
    <s v=""/>
    <s v=""/>
    <m/>
    <m/>
    <x v="1"/>
  </r>
  <r>
    <x v="0"/>
    <s v="Modelo Verde - Input"/>
    <x v="1"/>
    <s v="modesg_param_sfics_taxon_europeia"/>
    <s v="nome_specific_sustainable"/>
    <x v="4"/>
    <s v="0. Cancelado"/>
    <s v="26/09/2024: Remoção de campo"/>
    <s v=""/>
    <s v=""/>
    <s v=""/>
    <m/>
    <m/>
    <x v="1"/>
  </r>
  <r>
    <x v="0"/>
    <s v="Modelo Verde - Input"/>
    <x v="0"/>
    <s v="modesg_inp_emss_vcls"/>
    <s v="n.a."/>
    <x v="1"/>
    <s v="1. Concluído"/>
    <m/>
    <s v=""/>
    <s v=""/>
    <s v=""/>
    <m/>
    <m/>
    <x v="1"/>
  </r>
  <r>
    <x v="0"/>
    <s v="Modelo Verde - Input"/>
    <x v="0"/>
    <s v="modesg_inp_km_medios_emss_vcls"/>
    <s v="n.a."/>
    <x v="1"/>
    <s v="1. Concluído"/>
    <m/>
    <s v=""/>
    <s v=""/>
    <s v=""/>
    <m/>
    <m/>
    <x v="1"/>
  </r>
  <r>
    <x v="0"/>
    <s v="Modelo Verde - Input"/>
    <x v="0"/>
    <s v="modesg_inp_empr_excl_paris"/>
    <s v="n.a."/>
    <x v="1"/>
    <s v="1. Concluído"/>
    <m/>
    <s v=""/>
    <s v=""/>
    <s v=""/>
    <m/>
    <m/>
    <x v="1"/>
  </r>
  <r>
    <x v="0"/>
    <s v="Modelo Verde - Input"/>
    <x v="0"/>
    <s v="modesg_inp_nfrd_alinhamento_tax"/>
    <s v="n.a."/>
    <x v="1"/>
    <s v="1. Concluído"/>
    <m/>
    <s v=""/>
    <s v=""/>
    <s v=""/>
    <m/>
    <m/>
    <x v="1"/>
  </r>
  <r>
    <x v="0"/>
    <s v="Modelo Verde - Input"/>
    <x v="0"/>
    <s v="modesg_inp_risco_fisico"/>
    <s v="n.a."/>
    <x v="1"/>
    <s v="1. Concluído"/>
    <m/>
    <s v=""/>
    <s v=""/>
    <s v=""/>
    <m/>
    <m/>
    <x v="1"/>
  </r>
  <r>
    <x v="0"/>
    <s v="Modelo Verde - Input"/>
    <x v="0"/>
    <s v="modesg_inp_emss_scib"/>
    <s v="n.a."/>
    <x v="1"/>
    <s v="1. Concluído"/>
    <m/>
    <s v=""/>
    <s v=""/>
    <s v=""/>
    <m/>
    <m/>
    <x v="1"/>
  </r>
  <r>
    <x v="0"/>
    <s v="Modelo Verde - Input"/>
    <x v="0"/>
    <s v="modesg_inp_emss_nace"/>
    <s v="n.a."/>
    <x v="1"/>
    <s v="1. Concluído"/>
    <m/>
    <s v=""/>
    <s v=""/>
    <s v=""/>
    <m/>
    <m/>
    <x v="1"/>
  </r>
  <r>
    <x v="0"/>
    <s v="Modelo Verde - Input"/>
    <x v="0"/>
    <s v="modesg_inp_emss_bens_imoveis"/>
    <s v="n.a."/>
    <x v="1"/>
    <s v="1. Concluído"/>
    <m/>
    <s v=""/>
    <s v=""/>
    <s v=""/>
    <m/>
    <m/>
    <x v="1"/>
  </r>
  <r>
    <x v="0"/>
    <s v="Modelo Verde - Input"/>
    <x v="1"/>
    <s v="modesg_inp_emss_vcls"/>
    <s v="ref_date"/>
    <x v="1"/>
    <s v="1. Concluído"/>
    <m/>
    <s v=""/>
    <s v=""/>
    <s v=""/>
    <m/>
    <m/>
    <x v="1"/>
  </r>
  <r>
    <x v="0"/>
    <s v="Modelo Verde - Input"/>
    <x v="1"/>
    <s v="modesg_inp_emss_vcls"/>
    <s v="nome_regiao"/>
    <x v="1"/>
    <s v="1. Concluído"/>
    <m/>
    <s v=""/>
    <s v=""/>
    <s v=""/>
    <m/>
    <m/>
    <x v="1"/>
  </r>
  <r>
    <x v="0"/>
    <s v="Modelo Verde - Input"/>
    <x v="1"/>
    <s v="modesg_inp_emss_vcls"/>
    <s v="nome_pais"/>
    <x v="1"/>
    <s v="1. Concluído"/>
    <m/>
    <s v=""/>
    <s v=""/>
    <s v=""/>
    <m/>
    <m/>
    <x v="1"/>
  </r>
  <r>
    <x v="0"/>
    <s v="Modelo Verde - Input"/>
    <x v="1"/>
    <s v="modesg_inp_emss_vcls"/>
    <s v="nome_estado"/>
    <x v="1"/>
    <s v="1. Concluído"/>
    <m/>
    <s v=""/>
    <s v=""/>
    <s v=""/>
    <m/>
    <m/>
    <x v="1"/>
  </r>
  <r>
    <x v="0"/>
    <s v="Modelo Verde - Input"/>
    <x v="1"/>
    <s v="modesg_inp_emss_vcls"/>
    <s v="tipo_veiculo"/>
    <x v="1"/>
    <s v="1. Concluído"/>
    <m/>
    <s v=""/>
    <s v=""/>
    <s v=""/>
    <m/>
    <m/>
    <x v="1"/>
  </r>
  <r>
    <x v="0"/>
    <s v="Modelo Verde - Input"/>
    <x v="1"/>
    <s v="modesg_inp_emss_vcls"/>
    <s v="tipo_motor"/>
    <x v="1"/>
    <s v="1. Concluído"/>
    <m/>
    <s v=""/>
    <s v=""/>
    <s v=""/>
    <m/>
    <m/>
    <x v="1"/>
  </r>
  <r>
    <x v="0"/>
    <s v="Modelo Verde - Input"/>
    <x v="1"/>
    <s v="modesg_inp_emss_vcls"/>
    <s v="marca"/>
    <x v="1"/>
    <s v="1. Concluído"/>
    <m/>
    <s v=""/>
    <s v=""/>
    <s v=""/>
    <m/>
    <m/>
    <x v="1"/>
  </r>
  <r>
    <x v="0"/>
    <s v="Modelo Verde - Input"/>
    <x v="1"/>
    <s v="modesg_inp_emss_vcls"/>
    <s v="modelo"/>
    <x v="1"/>
    <s v="1. Concluído"/>
    <m/>
    <s v=""/>
    <s v=""/>
    <s v=""/>
    <m/>
    <m/>
    <x v="1"/>
  </r>
  <r>
    <x v="0"/>
    <s v="Modelo Verde - Input"/>
    <x v="1"/>
    <s v="modesg_inp_emss_vcls"/>
    <s v="subgrupo"/>
    <x v="1"/>
    <s v="1. Concluído"/>
    <s v="Novo Campo no input corporativo"/>
    <s v=""/>
    <s v=""/>
    <s v=""/>
    <m/>
    <m/>
    <x v="1"/>
  </r>
  <r>
    <x v="0"/>
    <s v="Modelo Verde - Input"/>
    <x v="1"/>
    <s v="modesg_inp_emss_vcls"/>
    <s v="nome_unidade_funcional"/>
    <x v="1"/>
    <s v="1. Concluído"/>
    <m/>
    <s v=""/>
    <s v=""/>
    <s v=""/>
    <m/>
    <m/>
    <x v="1"/>
  </r>
  <r>
    <x v="0"/>
    <s v="Modelo Verde - Input"/>
    <x v="1"/>
    <s v="modesg_inp_emss_vcls"/>
    <s v="unidade_funcional"/>
    <x v="1"/>
    <s v="1. Concluído"/>
    <m/>
    <s v=""/>
    <s v=""/>
    <s v=""/>
    <m/>
    <m/>
    <x v="1"/>
  </r>
  <r>
    <x v="0"/>
    <s v="Modelo Verde - Input"/>
    <x v="1"/>
    <s v="modesg_inp_emss_vcls"/>
    <s v="nome_fator_emissao"/>
    <x v="1"/>
    <s v="1. Concluído"/>
    <m/>
    <s v=""/>
    <s v=""/>
    <s v=""/>
    <m/>
    <m/>
    <x v="1"/>
  </r>
  <r>
    <x v="0"/>
    <s v="Modelo Verde - Input"/>
    <x v="1"/>
    <s v="modesg_inp_emss_vcls"/>
    <s v="unidade_fator_de_emissao"/>
    <x v="1"/>
    <s v="1. Concluído"/>
    <m/>
    <s v=""/>
    <s v=""/>
    <s v=""/>
    <m/>
    <m/>
    <x v="1"/>
  </r>
  <r>
    <x v="0"/>
    <s v="Modelo Verde - Input"/>
    <x v="1"/>
    <s v="modesg_inp_emss_vcls"/>
    <s v="score_qualidade"/>
    <x v="1"/>
    <s v="1. Concluído"/>
    <m/>
    <s v=""/>
    <s v=""/>
    <s v=""/>
    <m/>
    <m/>
    <x v="1"/>
  </r>
  <r>
    <x v="0"/>
    <s v="Modelo Verde - Input"/>
    <x v="1"/>
    <s v="modesg_inp_emss_vcls"/>
    <s v="scp1_ftr_emss"/>
    <x v="1"/>
    <s v="1. Concluído"/>
    <m/>
    <s v=""/>
    <s v=""/>
    <s v=""/>
    <m/>
    <m/>
    <x v="1"/>
  </r>
  <r>
    <x v="0"/>
    <s v="Modelo Verde - Input"/>
    <x v="1"/>
    <s v="modesg_inp_emss_vcls"/>
    <s v="scp2_ftr_emss"/>
    <x v="1"/>
    <s v="1. Concluído"/>
    <m/>
    <s v=""/>
    <s v=""/>
    <s v=""/>
    <m/>
    <m/>
    <x v="1"/>
  </r>
  <r>
    <x v="0"/>
    <s v="Modelo Verde - Input"/>
    <x v="1"/>
    <s v="modesg_inp_emss_vcls"/>
    <s v="scp3_ftr_emss"/>
    <x v="1"/>
    <s v="1. Concluído"/>
    <m/>
    <s v=""/>
    <s v=""/>
    <s v=""/>
    <m/>
    <m/>
    <x v="1"/>
  </r>
  <r>
    <x v="0"/>
    <s v="Modelo Verde - Input"/>
    <x v="1"/>
    <s v="modesg_inp_km_medios_emss_vcls"/>
    <s v="ref_date"/>
    <x v="1"/>
    <s v="1. Concluído"/>
    <m/>
    <s v=""/>
    <s v=""/>
    <s v=""/>
    <m/>
    <m/>
    <x v="1"/>
  </r>
  <r>
    <x v="0"/>
    <s v="Modelo Verde - Input"/>
    <x v="1"/>
    <s v="modesg_inp_km_medios_emss_vcls"/>
    <s v="nome_pais"/>
    <x v="1"/>
    <s v="1. Concluído"/>
    <m/>
    <s v=""/>
    <s v=""/>
    <s v=""/>
    <m/>
    <m/>
    <x v="1"/>
  </r>
  <r>
    <x v="0"/>
    <s v="Modelo Verde - Input"/>
    <x v="1"/>
    <s v="modesg_inp_km_medios_emss_vcls"/>
    <s v="tipo_vcl"/>
    <x v="1"/>
    <s v="1. Concluído"/>
    <m/>
    <s v=""/>
    <s v=""/>
    <s v=""/>
    <m/>
    <m/>
    <x v="1"/>
  </r>
  <r>
    <x v="0"/>
    <s v="Modelo Verde - Input"/>
    <x v="1"/>
    <s v="modesg_inp_km_medios_emss_vcls"/>
    <s v="tipo_motor"/>
    <x v="1"/>
    <s v="1. Concluído"/>
    <m/>
    <s v=""/>
    <s v=""/>
    <s v=""/>
    <m/>
    <m/>
    <x v="1"/>
  </r>
  <r>
    <x v="0"/>
    <s v="Modelo Verde - Input"/>
    <x v="1"/>
    <s v="modesg_inp_km_medios_emss_vcls"/>
    <s v="subgrupo"/>
    <x v="1"/>
    <s v="1. Concluído"/>
    <s v="Novo Campo no input corporativo"/>
    <s v=""/>
    <s v=""/>
    <s v=""/>
    <m/>
    <m/>
    <x v="1"/>
  </r>
  <r>
    <x v="0"/>
    <s v="Modelo Verde - Input"/>
    <x v="1"/>
    <s v="modesg_inp_km_medios_emss_vcls"/>
    <s v="media_km"/>
    <x v="1"/>
    <s v="1. Concluído"/>
    <m/>
    <s v=""/>
    <s v=""/>
    <s v=""/>
    <m/>
    <m/>
    <x v="1"/>
  </r>
  <r>
    <x v="0"/>
    <s v="Modelo Verde - Input"/>
    <x v="1"/>
    <s v="modesg_inp_empr_excl_paris"/>
    <s v="ref_date"/>
    <x v="1"/>
    <s v="1. Concluído"/>
    <m/>
    <s v=""/>
    <s v=""/>
    <s v=""/>
    <m/>
    <m/>
    <x v="1"/>
  </r>
  <r>
    <x v="0"/>
    <s v="Modelo Verde - Input"/>
    <x v="1"/>
    <s v="modesg_inp_empr_excl_paris"/>
    <s v="isin"/>
    <x v="1"/>
    <s v="1. Concluído"/>
    <m/>
    <s v=""/>
    <s v=""/>
    <s v=""/>
    <m/>
    <m/>
    <x v="1"/>
  </r>
  <r>
    <x v="0"/>
    <s v="Modelo Verde - Input"/>
    <x v="1"/>
    <s v="modesg_inp_empr_excl_paris"/>
    <s v="clei"/>
    <x v="1"/>
    <s v="1. Concluído"/>
    <m/>
    <s v=""/>
    <s v=""/>
    <s v=""/>
    <m/>
    <m/>
    <x v="1"/>
  </r>
  <r>
    <x v="0"/>
    <s v="Modelo Verde - Input"/>
    <x v="1"/>
    <s v="modesg_inp_empr_excl_paris"/>
    <s v="ccli_kgl"/>
    <x v="1"/>
    <s v="1. Concluído"/>
    <m/>
    <s v=""/>
    <s v=""/>
    <s v=""/>
    <m/>
    <m/>
    <x v="1"/>
  </r>
  <r>
    <x v="0"/>
    <s v="Modelo Verde - Input"/>
    <x v="1"/>
    <s v="modesg_inp_empr_excl_paris"/>
    <s v="nome_entidade"/>
    <x v="1"/>
    <s v="1. Concluído"/>
    <m/>
    <s v=""/>
    <s v=""/>
    <s v=""/>
    <m/>
    <m/>
    <x v="1"/>
  </r>
  <r>
    <x v="0"/>
    <s v="Modelo Verde - Input"/>
    <x v="1"/>
    <s v="modesg_inp_empr_excl_paris"/>
    <s v="flg_scib"/>
    <x v="1"/>
    <s v="1. Concluído"/>
    <m/>
    <s v=""/>
    <s v=""/>
    <s v=""/>
    <m/>
    <m/>
    <x v="1"/>
  </r>
  <r>
    <x v="0"/>
    <s v="Modelo Verde - Input"/>
    <x v="1"/>
    <s v="modesg_inp_empr_excl_paris"/>
    <s v="nome_pais"/>
    <x v="1"/>
    <s v="1. Concluído"/>
    <m/>
    <s v=""/>
    <s v=""/>
    <s v=""/>
    <m/>
    <m/>
    <x v="1"/>
  </r>
  <r>
    <x v="0"/>
    <s v="Modelo Verde - Input"/>
    <x v="1"/>
    <s v="modesg_inp_nfrd_alinhamento_tax"/>
    <s v="ref_date"/>
    <x v="1"/>
    <s v="1. Concluído"/>
    <m/>
    <s v=""/>
    <s v=""/>
    <s v=""/>
    <m/>
    <m/>
    <x v="1"/>
  </r>
  <r>
    <x v="0"/>
    <s v="Modelo Verde - Input"/>
    <x v="1"/>
    <s v="modesg_inp_nfrd_alinhamento_tax"/>
    <s v="ccli_kgl"/>
    <x v="1"/>
    <s v="1. Concluído"/>
    <m/>
    <s v=""/>
    <s v=""/>
    <s v=""/>
    <m/>
    <m/>
    <x v="1"/>
  </r>
  <r>
    <x v="0"/>
    <s v="Modelo Verde - Input"/>
    <x v="1"/>
    <s v="modesg_inp_nfrd_alinhamento_tax"/>
    <s v="clei"/>
    <x v="1"/>
    <s v="1. Concluído"/>
    <m/>
    <s v=""/>
    <s v=""/>
    <s v=""/>
    <m/>
    <m/>
    <x v="1"/>
  </r>
  <r>
    <x v="0"/>
    <s v="Modelo Verde - Input"/>
    <x v="1"/>
    <s v="modesg_inp_nfrd_alinhamento_tax"/>
    <s v="perm_id"/>
    <x v="1"/>
    <s v="1. Concluído"/>
    <m/>
    <s v=""/>
    <s v=""/>
    <s v=""/>
    <m/>
    <m/>
    <x v="1"/>
  </r>
  <r>
    <x v="0"/>
    <s v="Modelo Verde - Input"/>
    <x v="1"/>
    <s v="modesg_inp_nfrd_alinhamento_tax"/>
    <s v="nome_entidade"/>
    <x v="1"/>
    <s v="1. Concluído"/>
    <m/>
    <s v=""/>
    <s v=""/>
    <s v=""/>
    <m/>
    <m/>
    <x v="1"/>
  </r>
  <r>
    <x v="0"/>
    <s v="Modelo Verde - Input"/>
    <x v="1"/>
    <s v="modesg_inp_nfrd_alinhamento_tax"/>
    <s v="nome_pais"/>
    <x v="1"/>
    <s v="1. Concluído"/>
    <s v="Novo Campo no input corporativo"/>
    <s v=""/>
    <s v=""/>
    <s v=""/>
    <m/>
    <m/>
    <x v="1"/>
  </r>
  <r>
    <x v="0"/>
    <s v="Modelo Verde - Input"/>
    <x v="1"/>
    <s v="modesg_inp_nfrd_alinhamento_tax"/>
    <s v="flg_nfrd"/>
    <x v="1"/>
    <s v="1. Concluído"/>
    <m/>
    <s v=""/>
    <s v=""/>
    <s v=""/>
    <m/>
    <m/>
    <x v="1"/>
  </r>
  <r>
    <x v="0"/>
    <s v="Modelo Verde - Input"/>
    <x v="1"/>
    <s v="modesg_inp_nfrd_alinhamento_tax"/>
    <s v="cca_trnvr_ttl_elgbl"/>
    <x v="1"/>
    <s v="1. Concluído"/>
    <m/>
    <s v=""/>
    <s v=""/>
    <s v=""/>
    <m/>
    <m/>
    <x v="1"/>
  </r>
  <r>
    <x v="0"/>
    <s v="Modelo Verde - Input"/>
    <x v="1"/>
    <s v="modesg_inp_nfrd_alinhamento_tax"/>
    <s v="cca_trnvr_enblng_alignd"/>
    <x v="1"/>
    <s v="1. Concluído"/>
    <m/>
    <s v=""/>
    <s v=""/>
    <s v=""/>
    <m/>
    <m/>
    <x v="1"/>
  </r>
  <r>
    <x v="0"/>
    <s v="Modelo Verde - Input"/>
    <x v="1"/>
    <s v="modesg_inp_nfrd_alinhamento_tax"/>
    <s v="cca_turnover_own_prfrmnce_algnd"/>
    <x v="1"/>
    <s v="1. Concluído"/>
    <m/>
    <s v=""/>
    <s v=""/>
    <s v=""/>
    <m/>
    <m/>
    <x v="1"/>
  </r>
  <r>
    <x v="0"/>
    <s v="Modelo Verde - Input"/>
    <x v="1"/>
    <s v="modesg_inp_nfrd_alinhamento_tax"/>
    <s v="cca_capex_ttl_elgbl"/>
    <x v="1"/>
    <s v="1. Concluído"/>
    <m/>
    <s v=""/>
    <s v=""/>
    <s v=""/>
    <m/>
    <m/>
    <x v="1"/>
  </r>
  <r>
    <x v="0"/>
    <s v="Modelo Verde - Input"/>
    <x v="1"/>
    <s v="modesg_inp_nfrd_alinhamento_tax"/>
    <s v="cca_capex_enblng_algnd"/>
    <x v="1"/>
    <s v="1. Concluído"/>
    <m/>
    <s v=""/>
    <s v=""/>
    <s v=""/>
    <m/>
    <m/>
    <x v="1"/>
  </r>
  <r>
    <x v="0"/>
    <s v="Modelo Verde - Input"/>
    <x v="1"/>
    <s v="modesg_inp_nfrd_alinhamento_tax"/>
    <s v="cca_capex_own_prfrmnce_algnd"/>
    <x v="1"/>
    <s v="1. Concluído"/>
    <m/>
    <s v=""/>
    <s v=""/>
    <s v=""/>
    <m/>
    <m/>
    <x v="1"/>
  </r>
  <r>
    <x v="0"/>
    <s v="Modelo Verde - Input"/>
    <x v="1"/>
    <s v="modesg_inp_nfrd_alinhamento_tax"/>
    <s v="ccm_trnvr_ttl_elgbl"/>
    <x v="1"/>
    <s v="1. Concluído"/>
    <m/>
    <s v=""/>
    <s v=""/>
    <s v=""/>
    <m/>
    <m/>
    <x v="1"/>
  </r>
  <r>
    <x v="0"/>
    <s v="Modelo Verde - Input"/>
    <x v="1"/>
    <s v="modesg_inp_nfrd_alinhamento_tax"/>
    <s v="ccm_trnvr_enblng_algnd"/>
    <x v="1"/>
    <s v="1. Concluído"/>
    <m/>
    <s v=""/>
    <s v=""/>
    <s v=""/>
    <m/>
    <m/>
    <x v="1"/>
  </r>
  <r>
    <x v="0"/>
    <s v="Modelo Verde - Input"/>
    <x v="1"/>
    <s v="modesg_inp_nfrd_alinhamento_tax"/>
    <s v="ccm_trnvr_trnstn_alignd"/>
    <x v="1"/>
    <s v="1. Concluído"/>
    <m/>
    <s v=""/>
    <s v=""/>
    <s v=""/>
    <m/>
    <m/>
    <x v="1"/>
  </r>
  <r>
    <x v="0"/>
    <s v="Modelo Verde - Input"/>
    <x v="1"/>
    <s v="modesg_inp_nfrd_alinhamento_tax"/>
    <s v="ccm_trnvr_own_prfrmnce_algnd"/>
    <x v="1"/>
    <s v="1. Concluído"/>
    <m/>
    <s v=""/>
    <s v=""/>
    <s v=""/>
    <m/>
    <m/>
    <x v="1"/>
  </r>
  <r>
    <x v="0"/>
    <s v="Modelo Verde - Input"/>
    <x v="1"/>
    <s v="modesg_inp_nfrd_alinhamento_tax"/>
    <s v="ccm_capex_ttl_elgbl"/>
    <x v="1"/>
    <s v="1. Concluído"/>
    <m/>
    <s v=""/>
    <s v=""/>
    <s v=""/>
    <m/>
    <m/>
    <x v="1"/>
  </r>
  <r>
    <x v="0"/>
    <s v="Modelo Verde - Input"/>
    <x v="1"/>
    <s v="modesg_inp_nfrd_alinhamento_tax"/>
    <s v="ccm_capex_enblng_algnd"/>
    <x v="1"/>
    <s v="1. Concluído"/>
    <m/>
    <s v=""/>
    <s v=""/>
    <s v=""/>
    <m/>
    <m/>
    <x v="1"/>
  </r>
  <r>
    <x v="0"/>
    <s v="Modelo Verde - Input"/>
    <x v="1"/>
    <s v="modesg_inp_nfrd_alinhamento_tax"/>
    <s v="ccm_capex_trnstn_algnd"/>
    <x v="1"/>
    <s v="1. Concluído"/>
    <m/>
    <s v=""/>
    <s v=""/>
    <s v=""/>
    <m/>
    <m/>
    <x v="1"/>
  </r>
  <r>
    <x v="0"/>
    <s v="Modelo Verde - Input"/>
    <x v="1"/>
    <s v="modesg_inp_nfrd_alinhamento_tax"/>
    <s v="ccm_capex_own_prfrmnce_algnd"/>
    <x v="1"/>
    <s v="1. Concluído"/>
    <m/>
    <s v=""/>
    <s v=""/>
    <s v=""/>
    <m/>
    <m/>
    <x v="1"/>
  </r>
  <r>
    <x v="0"/>
    <s v="Modelo Verde - Input"/>
    <x v="1"/>
    <s v="modesg_inp_nfrd_alinhamento_tax"/>
    <s v="ppc_trnvr_ttl_elgbl"/>
    <x v="1"/>
    <s v="1. Concluído"/>
    <s v="Novo Campo no input corporativo"/>
    <s v=""/>
    <s v=""/>
    <s v=""/>
    <m/>
    <m/>
    <x v="1"/>
  </r>
  <r>
    <x v="0"/>
    <s v="Modelo Verde - Input"/>
    <x v="1"/>
    <s v="modesg_inp_nfrd_alinhamento_tax"/>
    <s v="ppc_turnover_own_prfrmnce_algnd"/>
    <x v="1"/>
    <s v="1. Concluído"/>
    <s v="Novo Campo no input corporativo"/>
    <s v=""/>
    <s v=""/>
    <s v=""/>
    <m/>
    <m/>
    <x v="1"/>
  </r>
  <r>
    <x v="0"/>
    <s v="Modelo Verde - Input"/>
    <x v="1"/>
    <s v="modesg_inp_nfrd_alinhamento_tax"/>
    <s v="ppc_capex_ttl_elgbl"/>
    <x v="1"/>
    <s v="1. Concluído"/>
    <s v="Novo Campo no input corporativo"/>
    <s v=""/>
    <s v=""/>
    <s v=""/>
    <m/>
    <m/>
    <x v="1"/>
  </r>
  <r>
    <x v="0"/>
    <s v="Modelo Verde - Input"/>
    <x v="1"/>
    <s v="modesg_inp_nfrd_alinhamento_tax"/>
    <s v="ppc_capex_own_prfrmnce_algnd"/>
    <x v="1"/>
    <s v="1. Concluído"/>
    <s v="Novo Campo no input corporativo"/>
    <s v=""/>
    <s v=""/>
    <s v=""/>
    <m/>
    <m/>
    <x v="1"/>
  </r>
  <r>
    <x v="0"/>
    <s v="Modelo Verde - Input"/>
    <x v="1"/>
    <s v="modesg_inp_nfrd_alinhamento_tax"/>
    <s v="bio_trnvr_ttl_elgbl"/>
    <x v="1"/>
    <s v="1. Concluído"/>
    <s v="Novo Campo no input corporativo"/>
    <s v=""/>
    <s v=""/>
    <s v=""/>
    <m/>
    <m/>
    <x v="1"/>
  </r>
  <r>
    <x v="0"/>
    <s v="Modelo Verde - Input"/>
    <x v="1"/>
    <s v="modesg_inp_nfrd_alinhamento_tax"/>
    <s v="bio_turnover_own_prfrmnce_algnd"/>
    <x v="1"/>
    <s v="1. Concluído"/>
    <s v="Novo Campo no input corporativo"/>
    <s v=""/>
    <s v=""/>
    <s v=""/>
    <m/>
    <m/>
    <x v="1"/>
  </r>
  <r>
    <x v="0"/>
    <s v="Modelo Verde - Input"/>
    <x v="1"/>
    <s v="modesg_inp_nfrd_alinhamento_tax"/>
    <s v="bio_capex_ttl_elgbl"/>
    <x v="1"/>
    <s v="1. Concluído"/>
    <s v="Novo Campo no input corporativo"/>
    <s v=""/>
    <s v=""/>
    <s v=""/>
    <m/>
    <m/>
    <x v="1"/>
  </r>
  <r>
    <x v="0"/>
    <s v="Modelo Verde - Input"/>
    <x v="1"/>
    <s v="modesg_inp_nfrd_alinhamento_tax"/>
    <s v="bio_capex_own_prfrmnce_algnd"/>
    <x v="1"/>
    <s v="1. Concluído"/>
    <s v="Novo Campo no input corporativo"/>
    <s v=""/>
    <s v=""/>
    <s v=""/>
    <m/>
    <m/>
    <x v="1"/>
  </r>
  <r>
    <x v="0"/>
    <s v="Modelo Verde - Input"/>
    <x v="1"/>
    <s v="modesg_inp_nfrd_alinhamento_tax"/>
    <s v="wtr_trnvr_ttl_elgbl"/>
    <x v="1"/>
    <s v="1. Concluído"/>
    <s v="Novo Campo no input corporativo"/>
    <s v=""/>
    <s v=""/>
    <s v=""/>
    <m/>
    <m/>
    <x v="1"/>
  </r>
  <r>
    <x v="0"/>
    <s v="Modelo Verde - Input"/>
    <x v="1"/>
    <s v="modesg_inp_nfrd_alinhamento_tax"/>
    <s v="wtr_trnvr_enblng_alignd"/>
    <x v="1"/>
    <s v="1. Concluído"/>
    <s v="Novo Campo no input corporativo"/>
    <s v=""/>
    <s v=""/>
    <s v=""/>
    <m/>
    <m/>
    <x v="1"/>
  </r>
  <r>
    <x v="0"/>
    <s v="Modelo Verde - Input"/>
    <x v="1"/>
    <s v="modesg_inp_nfrd_alinhamento_tax"/>
    <s v="wtr_turnover_own_prfrmnce_algnd"/>
    <x v="1"/>
    <s v="1. Concluído"/>
    <s v="Novo Campo no input corporativo"/>
    <s v=""/>
    <s v=""/>
    <s v=""/>
    <m/>
    <m/>
    <x v="1"/>
  </r>
  <r>
    <x v="0"/>
    <s v="Modelo Verde - Input"/>
    <x v="1"/>
    <s v="modesg_inp_nfrd_alinhamento_tax"/>
    <s v="wtr_capex_ttl_elgbl"/>
    <x v="1"/>
    <s v="1. Concluído"/>
    <s v="Novo Campo no input corporativo"/>
    <s v=""/>
    <s v=""/>
    <s v=""/>
    <m/>
    <m/>
    <x v="1"/>
  </r>
  <r>
    <x v="0"/>
    <s v="Modelo Verde - Input"/>
    <x v="1"/>
    <s v="modesg_inp_nfrd_alinhamento_tax"/>
    <s v="wtr_capex_enblng_algnd"/>
    <x v="1"/>
    <s v="1. Concluído"/>
    <s v="Novo Campo no input corporativo"/>
    <s v=""/>
    <s v=""/>
    <s v=""/>
    <m/>
    <m/>
    <x v="1"/>
  </r>
  <r>
    <x v="0"/>
    <s v="Modelo Verde - Input"/>
    <x v="1"/>
    <s v="modesg_inp_nfrd_alinhamento_tax"/>
    <s v="wtr_capex_own_prfrmnce_algnd"/>
    <x v="1"/>
    <s v="1. Concluído"/>
    <s v="Novo Campo no input corporativo"/>
    <s v=""/>
    <s v=""/>
    <s v=""/>
    <m/>
    <m/>
    <x v="1"/>
  </r>
  <r>
    <x v="0"/>
    <s v="Modelo Verde - Input"/>
    <x v="1"/>
    <s v="modesg_inp_nfrd_alinhamento_tax"/>
    <s v="ce_trnvr_ttl_elgbl"/>
    <x v="1"/>
    <s v="1. Concluído"/>
    <s v="Novo Campo no input corporativo"/>
    <s v=""/>
    <s v=""/>
    <s v=""/>
    <m/>
    <m/>
    <x v="1"/>
  </r>
  <r>
    <x v="0"/>
    <s v="Modelo Verde - Input"/>
    <x v="1"/>
    <s v="modesg_inp_nfrd_alinhamento_tax"/>
    <s v="ce_trnvr_enblng_alignd"/>
    <x v="1"/>
    <s v="1. Concluído"/>
    <s v="Novo Campo no input corporativo"/>
    <s v=""/>
    <s v=""/>
    <s v=""/>
    <m/>
    <m/>
    <x v="1"/>
  </r>
  <r>
    <x v="0"/>
    <s v="Modelo Verde - Input"/>
    <x v="1"/>
    <s v="modesg_inp_nfrd_alinhamento_tax"/>
    <s v="ce_turnover_own_prfrmnce_algnd"/>
    <x v="1"/>
    <s v="1. Concluído"/>
    <s v="Novo Campo no input corporativo"/>
    <s v=""/>
    <s v=""/>
    <s v=""/>
    <m/>
    <m/>
    <x v="1"/>
  </r>
  <r>
    <x v="0"/>
    <s v="Modelo Verde - Input"/>
    <x v="1"/>
    <s v="modesg_inp_nfrd_alinhamento_tax"/>
    <s v="ce_capex_ttl_elgbl"/>
    <x v="1"/>
    <s v="1. Concluído"/>
    <s v="Novo Campo no input corporativo"/>
    <s v=""/>
    <s v=""/>
    <s v=""/>
    <m/>
    <m/>
    <x v="1"/>
  </r>
  <r>
    <x v="0"/>
    <s v="Modelo Verde - Input"/>
    <x v="1"/>
    <s v="modesg_inp_nfrd_alinhamento_tax"/>
    <s v="ce_capex_enblng_algnd"/>
    <x v="1"/>
    <s v="1. Concluído"/>
    <s v="Novo Campo no input corporativo"/>
    <s v=""/>
    <s v=""/>
    <s v=""/>
    <m/>
    <m/>
    <x v="1"/>
  </r>
  <r>
    <x v="0"/>
    <s v="Modelo Verde - Input"/>
    <x v="1"/>
    <s v="modesg_inp_nfrd_alinhamento_tax"/>
    <s v="ce_capex_own_prfrmnce_algnd"/>
    <x v="1"/>
    <s v="1. Concluído"/>
    <s v="Novo Campo no input corporativo"/>
    <s v=""/>
    <s v=""/>
    <s v=""/>
    <m/>
    <m/>
    <x v="1"/>
  </r>
  <r>
    <x v="0"/>
    <s v="Modelo Verde - Input"/>
    <x v="1"/>
    <s v="modesg_inp_risco_fisico"/>
    <s v="ref_date"/>
    <x v="1"/>
    <s v="1. Concluído"/>
    <m/>
    <s v=""/>
    <s v=""/>
    <s v=""/>
    <m/>
    <m/>
    <x v="1"/>
  </r>
  <r>
    <x v="0"/>
    <s v="Modelo Verde - Input"/>
    <x v="1"/>
    <s v="modesg_inp_risco_fisico"/>
    <s v="cod_pais"/>
    <x v="1"/>
    <s v="1. Concluído"/>
    <m/>
    <s v=""/>
    <s v=""/>
    <s v=""/>
    <m/>
    <m/>
    <x v="1"/>
  </r>
  <r>
    <x v="0"/>
    <s v="Modelo Verde - Input"/>
    <x v="1"/>
    <s v="modesg_inp_risco_fisico"/>
    <s v="cod_nutiii"/>
    <x v="1"/>
    <s v="1. Concluído"/>
    <m/>
    <s v=""/>
    <s v=""/>
    <s v=""/>
    <m/>
    <m/>
    <x v="1"/>
  </r>
  <r>
    <x v="0"/>
    <s v="Modelo Verde - Input"/>
    <x v="1"/>
    <s v="modesg_inp_risco_fisico"/>
    <s v="cod_nace_esg"/>
    <x v="1"/>
    <s v="1. Concluído"/>
    <m/>
    <s v=""/>
    <s v=""/>
    <s v=""/>
    <m/>
    <m/>
    <x v="1"/>
  </r>
  <r>
    <x v="0"/>
    <s v="Modelo Verde - Input"/>
    <x v="1"/>
    <s v="modesg_inp_risco_fisico"/>
    <s v="flg_rsc_fsc_agd"/>
    <x v="1"/>
    <s v="1. Concluído"/>
    <m/>
    <s v=""/>
    <s v=""/>
    <s v=""/>
    <m/>
    <m/>
    <x v="1"/>
  </r>
  <r>
    <x v="0"/>
    <s v="Modelo Verde - Input"/>
    <x v="1"/>
    <s v="modesg_inp_risco_fisico"/>
    <s v="flg_rsc_fsc_crnc"/>
    <x v="1"/>
    <s v="1. Concluído"/>
    <m/>
    <s v=""/>
    <s v=""/>
    <s v=""/>
    <m/>
    <m/>
    <x v="1"/>
  </r>
  <r>
    <x v="0"/>
    <s v="Modelo Verde - Input"/>
    <x v="1"/>
    <s v="modesg_inp_risco_fisico_zipcode"/>
    <s v="cod_pais"/>
    <x v="5"/>
    <m/>
    <m/>
    <s v=""/>
    <s v=""/>
    <s v=""/>
    <m/>
    <m/>
    <x v="2"/>
  </r>
  <r>
    <x v="0"/>
    <s v="Modelo Verde - Input"/>
    <x v="1"/>
    <s v="modesg_inp_risco_fisico_zipcode"/>
    <s v="localizacao"/>
    <x v="5"/>
    <m/>
    <m/>
    <s v=""/>
    <s v=""/>
    <s v=""/>
    <m/>
    <m/>
    <x v="2"/>
  </r>
  <r>
    <x v="0"/>
    <s v="Modelo Verde - Input"/>
    <x v="1"/>
    <s v="modesg_inp_risco_fisico_zipcode"/>
    <s v="cod_nace_esg"/>
    <x v="5"/>
    <m/>
    <m/>
    <s v=""/>
    <s v=""/>
    <s v=""/>
    <m/>
    <m/>
    <x v="2"/>
  </r>
  <r>
    <x v="0"/>
    <s v="Modelo Verde - Input"/>
    <x v="1"/>
    <s v="modesg_inp_risco_fisico_zipcode"/>
    <s v="flg_rsc_fsc_agd"/>
    <x v="5"/>
    <m/>
    <m/>
    <s v=""/>
    <s v=""/>
    <s v=""/>
    <m/>
    <m/>
    <x v="2"/>
  </r>
  <r>
    <x v="0"/>
    <s v="Modelo Verde - Input"/>
    <x v="1"/>
    <s v="modesg_inp_risco_fisico_zipcode"/>
    <s v="flg_rsc_fsc_crnc"/>
    <x v="5"/>
    <m/>
    <m/>
    <s v=""/>
    <s v=""/>
    <s v=""/>
    <m/>
    <m/>
    <x v="2"/>
  </r>
  <r>
    <x v="0"/>
    <s v="Modelo Verde - Input"/>
    <x v="1"/>
    <s v="modesg_inp_emss_scib"/>
    <s v="ref_date"/>
    <x v="1"/>
    <s v="1. Concluído"/>
    <m/>
    <s v=""/>
    <s v=""/>
    <s v=""/>
    <m/>
    <m/>
    <x v="1"/>
  </r>
  <r>
    <x v="0"/>
    <s v="Modelo Verde - Input"/>
    <x v="1"/>
    <s v="modesg_inp_emss_scib"/>
    <s v="ccli_kgl"/>
    <x v="1"/>
    <s v="1. Concluído"/>
    <m/>
    <s v=""/>
    <s v=""/>
    <s v=""/>
    <m/>
    <m/>
    <x v="1"/>
  </r>
  <r>
    <x v="0"/>
    <s v="Modelo Verde - Input"/>
    <x v="1"/>
    <s v="modesg_inp_emss_scib"/>
    <s v="nome_grupo"/>
    <x v="1"/>
    <s v="1. Concluído"/>
    <m/>
    <s v=""/>
    <s v=""/>
    <s v=""/>
    <m/>
    <m/>
    <x v="1"/>
  </r>
  <r>
    <x v="0"/>
    <s v="Modelo Verde - Input"/>
    <x v="1"/>
    <s v="modesg_inp_emss_scib"/>
    <s v="isin"/>
    <x v="1"/>
    <s v="1. Concluído"/>
    <m/>
    <s v=""/>
    <s v=""/>
    <s v=""/>
    <m/>
    <m/>
    <x v="1"/>
  </r>
  <r>
    <x v="0"/>
    <s v="Modelo Verde - Input"/>
    <x v="1"/>
    <s v="modesg_inp_emss_scib"/>
    <s v="clei"/>
    <x v="1"/>
    <s v="1. Concluído"/>
    <m/>
    <s v=""/>
    <s v=""/>
    <s v=""/>
    <m/>
    <m/>
    <x v="1"/>
  </r>
  <r>
    <x v="0"/>
    <s v="Modelo Verde - Input"/>
    <x v="1"/>
    <s v="modesg_inp_emss_scib"/>
    <s v="scp1_emss"/>
    <x v="1"/>
    <s v="1. Concluído"/>
    <s v="18/07/2024: Em validação com Corporação sobre a possibilidade de valores zero (contra especificação); 26/07/2024: Campo concluido"/>
    <s v=""/>
    <s v=""/>
    <s v=""/>
    <m/>
    <m/>
    <x v="1"/>
  </r>
  <r>
    <x v="0"/>
    <s v="Modelo Verde - Input"/>
    <x v="1"/>
    <s v="modesg_inp_emss_scib"/>
    <s v="scp2_emss"/>
    <x v="1"/>
    <s v="1. Concluído"/>
    <s v="18/07/2024: Em validação com Corporação sobre a possibilidade de valores zero (contra especificação); 26/07/2024: Campo concluido"/>
    <s v=""/>
    <s v=""/>
    <s v=""/>
    <m/>
    <m/>
    <x v="1"/>
  </r>
  <r>
    <x v="0"/>
    <s v="Modelo Verde - Input"/>
    <x v="1"/>
    <s v="modesg_inp_emss_scib"/>
    <s v="scp3_emss"/>
    <x v="1"/>
    <s v="1. Concluído"/>
    <m/>
    <s v=""/>
    <s v=""/>
    <s v=""/>
    <m/>
    <m/>
    <x v="1"/>
  </r>
  <r>
    <x v="0"/>
    <s v="Modelo Verde - Input"/>
    <x v="1"/>
    <s v="modesg_inp_emss_scib"/>
    <s v="score_scp1"/>
    <x v="1"/>
    <s v="1. Concluído"/>
    <m/>
    <s v=""/>
    <s v=""/>
    <s v=""/>
    <m/>
    <m/>
    <x v="1"/>
  </r>
  <r>
    <x v="0"/>
    <s v="Modelo Verde - Input"/>
    <x v="1"/>
    <s v="modesg_inp_emss_scib"/>
    <s v="score_scp2"/>
    <x v="1"/>
    <s v="1. Concluído"/>
    <m/>
    <s v=""/>
    <s v=""/>
    <s v=""/>
    <m/>
    <m/>
    <x v="1"/>
  </r>
  <r>
    <x v="0"/>
    <s v="Modelo Verde - Input"/>
    <x v="1"/>
    <s v="modesg_inp_emss_scib"/>
    <s v="score_scp3"/>
    <x v="1"/>
    <s v="1. Concluído"/>
    <m/>
    <s v=""/>
    <s v=""/>
    <s v=""/>
    <m/>
    <m/>
    <x v="1"/>
  </r>
  <r>
    <x v="0"/>
    <s v="Modelo Verde - Input"/>
    <x v="1"/>
    <s v="modesg_inp_emss_scib"/>
    <s v="origem_scp1"/>
    <x v="1"/>
    <s v="1. Concluído"/>
    <m/>
    <s v=""/>
    <s v=""/>
    <s v=""/>
    <m/>
    <m/>
    <x v="1"/>
  </r>
  <r>
    <x v="0"/>
    <s v="Modelo Verde - Input"/>
    <x v="1"/>
    <s v="modesg_inp_emss_scib"/>
    <s v="origem_scp2"/>
    <x v="1"/>
    <s v="1. Concluído"/>
    <m/>
    <s v=""/>
    <s v=""/>
    <s v=""/>
    <m/>
    <m/>
    <x v="1"/>
  </r>
  <r>
    <x v="0"/>
    <s v="Modelo Verde - Input"/>
    <x v="1"/>
    <s v="modesg_inp_emss_scib"/>
    <s v="origem_scp3"/>
    <x v="1"/>
    <s v="1. Concluído"/>
    <m/>
    <s v=""/>
    <s v=""/>
    <s v=""/>
    <m/>
    <m/>
    <x v="1"/>
  </r>
  <r>
    <x v="0"/>
    <s v="Modelo Verde - Input"/>
    <x v="1"/>
    <s v="modesg_inp_emss_scib"/>
    <s v="ano_info"/>
    <x v="1"/>
    <s v="1. Concluído"/>
    <m/>
    <s v=""/>
    <s v=""/>
    <s v=""/>
    <m/>
    <m/>
    <x v="1"/>
  </r>
  <r>
    <x v="0"/>
    <s v="Modelo Verde - Input"/>
    <x v="1"/>
    <s v="modesg_inp_emss_scib"/>
    <s v="divida_total"/>
    <x v="1"/>
    <s v="1. Concluído"/>
    <m/>
    <s v=""/>
    <s v=""/>
    <s v=""/>
    <m/>
    <m/>
    <x v="1"/>
  </r>
  <r>
    <x v="0"/>
    <s v="Modelo Verde - Input"/>
    <x v="1"/>
    <s v="modesg_inp_emss_scib"/>
    <s v="capital_proprio"/>
    <x v="1"/>
    <s v="1. Concluído"/>
    <m/>
    <s v=""/>
    <s v=""/>
    <s v=""/>
    <m/>
    <m/>
    <x v="1"/>
  </r>
  <r>
    <x v="0"/>
    <s v="Modelo Verde - Input"/>
    <x v="1"/>
    <s v="modesg_inp_emss_nace"/>
    <s v="ref_date"/>
    <x v="1"/>
    <s v="1. Concluído"/>
    <m/>
    <s v=""/>
    <s v=""/>
    <s v=""/>
    <m/>
    <m/>
    <x v="1"/>
  </r>
  <r>
    <x v="0"/>
    <s v="Modelo Verde - Input"/>
    <x v="1"/>
    <s v="modesg_inp_emss_nace"/>
    <s v="ano"/>
    <x v="1"/>
    <s v="1. Concluído"/>
    <s v="Novo Campo no input corporativo"/>
    <s v=""/>
    <s v=""/>
    <s v=""/>
    <m/>
    <m/>
    <x v="1"/>
  </r>
  <r>
    <x v="0"/>
    <s v="Modelo Verde - Input"/>
    <x v="1"/>
    <s v="modesg_inp_emss_nace"/>
    <s v="nome_pais"/>
    <x v="1"/>
    <s v="1. Concluído"/>
    <s v="Novo Campo no input corporativo"/>
    <s v=""/>
    <s v=""/>
    <s v=""/>
    <m/>
    <m/>
    <x v="1"/>
  </r>
  <r>
    <x v="0"/>
    <s v="Modelo Verde - Input"/>
    <x v="1"/>
    <s v="modesg_inp_emss_nace"/>
    <s v="cod_nace_esg"/>
    <x v="1"/>
    <s v="1. Concluído"/>
    <m/>
    <s v=""/>
    <s v=""/>
    <s v=""/>
    <m/>
    <m/>
    <x v="1"/>
  </r>
  <r>
    <x v="0"/>
    <s v="Modelo Verde - Input"/>
    <x v="1"/>
    <s v="modesg_inp_emss_nace"/>
    <s v="cod_class_indust"/>
    <x v="1"/>
    <s v="1. Concluído"/>
    <m/>
    <s v=""/>
    <s v=""/>
    <s v=""/>
    <m/>
    <m/>
    <x v="1"/>
  </r>
  <r>
    <x v="0"/>
    <s v="Modelo Verde - Input"/>
    <x v="1"/>
    <s v="modesg_inp_emss_nace"/>
    <s v="nivel_classificacao_1"/>
    <x v="1"/>
    <s v="1. Concluído"/>
    <s v="Novo Campo no input corporativo"/>
    <s v=""/>
    <s v=""/>
    <s v=""/>
    <m/>
    <m/>
    <x v="1"/>
  </r>
  <r>
    <x v="0"/>
    <s v="Modelo Verde - Input"/>
    <x v="1"/>
    <s v="modesg_inp_emss_nace"/>
    <s v="classe_ativo"/>
    <x v="1"/>
    <s v="1. Concluído"/>
    <s v="Novo Campo no input corporativo"/>
    <s v=""/>
    <s v=""/>
    <s v=""/>
    <m/>
    <m/>
    <x v="1"/>
  </r>
  <r>
    <x v="0"/>
    <s v="Modelo Verde - Input"/>
    <x v="1"/>
    <s v="modesg_inp_emss_nace"/>
    <s v="opcao_metodologia"/>
    <x v="1"/>
    <s v="1. Concluído"/>
    <s v="Novo Campo no input corporativo"/>
    <s v=""/>
    <s v=""/>
    <s v=""/>
    <m/>
    <m/>
    <x v="1"/>
  </r>
  <r>
    <x v="0"/>
    <s v="Modelo Verde - Input"/>
    <x v="1"/>
    <s v="modesg_inp_emss_nace"/>
    <s v="unidade_funcional"/>
    <x v="1"/>
    <s v="1. Concluído"/>
    <m/>
    <s v=""/>
    <s v=""/>
    <s v=""/>
    <m/>
    <m/>
    <x v="1"/>
  </r>
  <r>
    <x v="0"/>
    <s v="Modelo Verde - Input"/>
    <x v="1"/>
    <s v="modesg_inp_emss_nace"/>
    <s v="unidades_fator_de_emissao"/>
    <x v="1"/>
    <s v="1. Concluído"/>
    <m/>
    <s v=""/>
    <s v=""/>
    <s v=""/>
    <m/>
    <m/>
    <x v="1"/>
  </r>
  <r>
    <x v="0"/>
    <s v="Modelo Verde - Input"/>
    <x v="1"/>
    <s v="modesg_inp_emss_nace"/>
    <s v="score_qualidade"/>
    <x v="1"/>
    <s v="1. Concluído"/>
    <m/>
    <s v=""/>
    <s v=""/>
    <s v=""/>
    <m/>
    <m/>
    <x v="1"/>
  </r>
  <r>
    <x v="0"/>
    <s v="Modelo Verde - Input"/>
    <x v="1"/>
    <s v="modesg_inp_emss_nace"/>
    <s v="scp1_ftr_emss"/>
    <x v="1"/>
    <s v="1. Concluído"/>
    <m/>
    <s v=""/>
    <s v=""/>
    <s v=""/>
    <m/>
    <m/>
    <x v="1"/>
  </r>
  <r>
    <x v="0"/>
    <s v="Modelo Verde - Input"/>
    <x v="1"/>
    <s v="modesg_inp_emss_nace"/>
    <s v="scp2_ftr_emss"/>
    <x v="1"/>
    <s v="1. Concluído"/>
    <m/>
    <s v=""/>
    <s v=""/>
    <s v=""/>
    <m/>
    <m/>
    <x v="1"/>
  </r>
  <r>
    <x v="0"/>
    <s v="Modelo Verde - Input"/>
    <x v="1"/>
    <s v="modesg_inp_emss_nace"/>
    <s v="scp3_ftr_emss"/>
    <x v="1"/>
    <s v="1. Concluído"/>
    <m/>
    <s v=""/>
    <s v=""/>
    <s v=""/>
    <m/>
    <m/>
    <x v="1"/>
  </r>
  <r>
    <x v="0"/>
    <s v="Modelo Verde - Input"/>
    <x v="1"/>
    <s v="modesg_inp_emss_bens_imoveis"/>
    <s v="ref_date"/>
    <x v="1"/>
    <s v="1. Concluído"/>
    <m/>
    <s v=""/>
    <s v=""/>
    <s v=""/>
    <m/>
    <m/>
    <x v="1"/>
  </r>
  <r>
    <x v="0"/>
    <s v="Modelo Verde - Input"/>
    <x v="1"/>
    <s v="modesg_inp_emss_bens_imoveis"/>
    <s v="nome_pais"/>
    <x v="1"/>
    <s v="1. Concluído"/>
    <m/>
    <s v=""/>
    <s v=""/>
    <s v=""/>
    <m/>
    <m/>
    <x v="1"/>
  </r>
  <r>
    <x v="0"/>
    <s v="Modelo Verde - Input"/>
    <x v="1"/>
    <s v="modesg_inp_emss_bens_imoveis"/>
    <s v="nome_estado"/>
    <x v="1"/>
    <s v="1. Concluído"/>
    <m/>
    <s v=""/>
    <s v=""/>
    <s v=""/>
    <m/>
    <m/>
    <x v="1"/>
  </r>
  <r>
    <x v="0"/>
    <s v="Modelo Verde - Input"/>
    <x v="1"/>
    <s v="modesg_inp_emss_bens_imoveis"/>
    <s v="classe_ativo"/>
    <x v="1"/>
    <s v="1. Concluído"/>
    <s v="Novo Campo no input corporativo"/>
    <s v=""/>
    <s v=""/>
    <s v=""/>
    <m/>
    <m/>
    <x v="1"/>
  </r>
  <r>
    <x v="0"/>
    <s v="Modelo Verde - Input"/>
    <x v="1"/>
    <s v="modesg_inp_emss_bens_imoveis"/>
    <s v="tipo_fator_emissao"/>
    <x v="1"/>
    <s v="1. Concluído"/>
    <s v="Novo Campo no input corporativo"/>
    <s v=""/>
    <s v=""/>
    <s v=""/>
    <m/>
    <m/>
    <x v="1"/>
  </r>
  <r>
    <x v="0"/>
    <s v="Modelo Verde - Input"/>
    <x v="1"/>
    <s v="modesg_inp_emss_bens_imoveis"/>
    <s v="regiao"/>
    <x v="1"/>
    <s v="1. Concluído"/>
    <s v="Novo Campo no input corporativo"/>
    <s v=""/>
    <s v=""/>
    <s v=""/>
    <m/>
    <m/>
    <x v="1"/>
  </r>
  <r>
    <x v="0"/>
    <s v="Modelo Verde - Input"/>
    <x v="1"/>
    <s v="modesg_inp_emss_bens_imoveis"/>
    <s v="tipo_bem"/>
    <x v="1"/>
    <s v="1. Concluído"/>
    <m/>
    <s v=""/>
    <s v=""/>
    <s v=""/>
    <m/>
    <m/>
    <x v="1"/>
  </r>
  <r>
    <x v="0"/>
    <s v="Modelo Verde - Input"/>
    <x v="1"/>
    <s v="modesg_inp_emss_bens_imoveis"/>
    <s v="tipo_finalidade_bem"/>
    <x v="1"/>
    <s v="1. Concluído"/>
    <m/>
    <s v=""/>
    <s v=""/>
    <s v=""/>
    <m/>
    <m/>
    <x v="1"/>
  </r>
  <r>
    <x v="0"/>
    <s v="Modelo Verde - Input"/>
    <x v="1"/>
    <s v="modesg_inp_emss_bens_imoveis"/>
    <s v="epc"/>
    <x v="1"/>
    <s v="1. Concluído"/>
    <m/>
    <s v=""/>
    <s v=""/>
    <s v=""/>
    <m/>
    <m/>
    <x v="1"/>
  </r>
  <r>
    <x v="0"/>
    <s v="Modelo Verde - Input"/>
    <x v="1"/>
    <s v="modesg_inp_emss_bens_imoveis"/>
    <s v="flg_ftr_emss_area"/>
    <x v="2"/>
    <s v="0. Cancelado"/>
    <s v="Campo removido "/>
    <s v=""/>
    <s v=""/>
    <s v=""/>
    <m/>
    <m/>
    <x v="1"/>
  </r>
  <r>
    <x v="0"/>
    <s v="Modelo Verde - Input"/>
    <x v="1"/>
    <s v="modesg_inp_emss_bens_imoveis"/>
    <s v="nome_unidade_funcional"/>
    <x v="1"/>
    <s v="1. Concluído"/>
    <m/>
    <s v=""/>
    <s v=""/>
    <s v=""/>
    <m/>
    <m/>
    <x v="1"/>
  </r>
  <r>
    <x v="0"/>
    <s v="Modelo Verde - Input"/>
    <x v="1"/>
    <s v="modesg_inp_emss_bens_imoveis"/>
    <s v="unidade_funcional"/>
    <x v="1"/>
    <s v="1. Concluído"/>
    <m/>
    <s v=""/>
    <s v=""/>
    <s v=""/>
    <m/>
    <m/>
    <x v="1"/>
  </r>
  <r>
    <x v="0"/>
    <s v="Modelo Verde - Input"/>
    <x v="1"/>
    <s v="modesg_inp_emss_bens_imoveis"/>
    <s v="nome_fator_emissao"/>
    <x v="1"/>
    <s v="1. Concluído"/>
    <m/>
    <s v=""/>
    <s v=""/>
    <s v=""/>
    <m/>
    <m/>
    <x v="1"/>
  </r>
  <r>
    <x v="0"/>
    <s v="Modelo Verde - Input"/>
    <x v="1"/>
    <s v="modesg_inp_emss_bens_imoveis"/>
    <s v="unidade_fator_de_emissao"/>
    <x v="1"/>
    <s v="1. Concluído"/>
    <m/>
    <s v=""/>
    <s v=""/>
    <s v=""/>
    <m/>
    <m/>
    <x v="1"/>
  </r>
  <r>
    <x v="0"/>
    <s v="Modelo Verde - Input"/>
    <x v="1"/>
    <s v="modesg_inp_emss_bens_imoveis"/>
    <s v="score_qualidade"/>
    <x v="1"/>
    <s v="1. Concluído"/>
    <m/>
    <s v=""/>
    <s v=""/>
    <s v=""/>
    <m/>
    <m/>
    <x v="1"/>
  </r>
  <r>
    <x v="0"/>
    <s v="Modelo Verde - Input"/>
    <x v="1"/>
    <s v="modesg_inp_emss_bens_imoveis"/>
    <s v="ano_fator_emissao"/>
    <x v="1"/>
    <s v="1. Concluído"/>
    <s v="Novo Campo no input corporativo"/>
    <s v=""/>
    <s v=""/>
    <s v=""/>
    <m/>
    <m/>
    <x v="1"/>
  </r>
  <r>
    <x v="0"/>
    <s v="Modelo Verde - Input"/>
    <x v="1"/>
    <s v="modesg_inp_emss_bens_imoveis"/>
    <s v="scp1_ftr_emss"/>
    <x v="1"/>
    <s v="1. Concluído"/>
    <m/>
    <s v=""/>
    <s v=""/>
    <s v=""/>
    <m/>
    <m/>
    <x v="1"/>
  </r>
  <r>
    <x v="0"/>
    <s v="Modelo Verde - Input"/>
    <x v="1"/>
    <s v="modesg_inp_emss_bens_imoveis"/>
    <s v="scp2_ftr_emss"/>
    <x v="1"/>
    <s v="1. Concluído"/>
    <m/>
    <s v=""/>
    <s v=""/>
    <s v=""/>
    <m/>
    <m/>
    <x v="1"/>
  </r>
  <r>
    <x v="0"/>
    <s v="Modelo Verde - Input"/>
    <x v="1"/>
    <s v="modesg_inp_project_finance"/>
    <s v="codigo_unidade"/>
    <x v="1"/>
    <m/>
    <m/>
    <s v=""/>
    <s v=""/>
    <s v=""/>
    <m/>
    <m/>
    <x v="2"/>
  </r>
  <r>
    <x v="0"/>
    <s v="Modelo Verde - Input"/>
    <x v="1"/>
    <s v="modesg_inp_project_finance"/>
    <s v="nome_unidade"/>
    <x v="1"/>
    <m/>
    <m/>
    <s v=""/>
    <s v=""/>
    <s v=""/>
    <m/>
    <m/>
    <x v="2"/>
  </r>
  <r>
    <x v="0"/>
    <s v="Modelo Verde - Input"/>
    <x v="1"/>
    <s v="modesg_inp_project_finance"/>
    <s v="kgl"/>
    <x v="1"/>
    <m/>
    <m/>
    <s v=""/>
    <s v=""/>
    <s v=""/>
    <m/>
    <m/>
    <x v="2"/>
  </r>
  <r>
    <x v="0"/>
    <s v="Modelo Verde - Input"/>
    <x v="1"/>
    <s v="modesg_inp_project_finance"/>
    <s v="nome_legal_kgl"/>
    <x v="1"/>
    <m/>
    <m/>
    <s v=""/>
    <s v=""/>
    <s v=""/>
    <m/>
    <m/>
    <x v="2"/>
  </r>
  <r>
    <x v="0"/>
    <s v="Modelo Verde - Input"/>
    <x v="1"/>
    <s v="modesg_inp_project_finance"/>
    <s v="kgl_top_entidade_principal"/>
    <x v="1"/>
    <m/>
    <m/>
    <s v=""/>
    <s v=""/>
    <s v=""/>
    <m/>
    <m/>
    <x v="2"/>
  </r>
  <r>
    <x v="0"/>
    <s v="Modelo Verde - Input"/>
    <x v="1"/>
    <s v="modesg_inp_project_finance"/>
    <s v="kgl_entidade_principal"/>
    <x v="1"/>
    <m/>
    <m/>
    <s v=""/>
    <s v=""/>
    <s v=""/>
    <m/>
    <m/>
    <x v="2"/>
  </r>
  <r>
    <x v="0"/>
    <s v="Modelo Verde - Input"/>
    <x v="1"/>
    <s v="modesg_inp_project_finance"/>
    <s v="nome_top_entidade_principal"/>
    <x v="1"/>
    <m/>
    <m/>
    <s v=""/>
    <s v=""/>
    <s v=""/>
    <m/>
    <m/>
    <x v="2"/>
  </r>
  <r>
    <x v="0"/>
    <s v="Modelo Verde - Input"/>
    <x v="1"/>
    <s v="modesg_inp_project_finance"/>
    <s v="codigo_unidade_operativa"/>
    <x v="1"/>
    <m/>
    <m/>
    <s v=""/>
    <s v=""/>
    <s v=""/>
    <m/>
    <m/>
    <x v="2"/>
  </r>
  <r>
    <x v="0"/>
    <s v="Modelo Verde - Input"/>
    <x v="1"/>
    <s v="modesg_inp_project_finance"/>
    <s v="nome_entidade_operativa"/>
    <x v="1"/>
    <m/>
    <m/>
    <s v=""/>
    <s v=""/>
    <s v=""/>
    <m/>
    <m/>
    <x v="2"/>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6"/>
    <s v="2.2 Em Re-especificação"/>
    <s v="Re-especificação "/>
    <s v=""/>
    <s v=""/>
    <s v=""/>
    <m/>
    <m/>
    <x v="1"/>
  </r>
  <r>
    <x v="0"/>
    <s v="Modelo Verde - Output"/>
    <x v="1"/>
    <s v="modesg_out_bens_imoveis"/>
    <s v="flg_rsc_fsc_crnc"/>
    <x v="6"/>
    <s v="2.2 Em Re-especificação"/>
    <s v="Re-especificação "/>
    <s v=""/>
    <s v=""/>
    <s v=""/>
    <m/>
    <m/>
    <x v="1"/>
  </r>
  <r>
    <x v="0"/>
    <s v="Modelo Verde - Output"/>
    <x v="1"/>
    <s v="modesg_out_bens_imoveis"/>
    <s v="origem_flg_rsc_fsc_agd"/>
    <x v="1"/>
    <s v="2.2 Em Re-especificação"/>
    <s v="Re-especificação "/>
    <s v=""/>
    <s v=""/>
    <s v=""/>
    <m/>
    <m/>
    <x v="1"/>
  </r>
  <r>
    <x v="0"/>
    <s v="Modelo Verde - Output"/>
    <x v="1"/>
    <s v="modesg_out_bens_imoveis"/>
    <s v="origem_flg_rsc_fsc_crnc"/>
    <x v="1"/>
    <s v="2.2 Em Re-especificação"/>
    <s v="Re-especificação "/>
    <s v=""/>
    <s v=""/>
    <s v=""/>
    <m/>
    <m/>
    <x v="1"/>
  </r>
  <r>
    <x v="0"/>
    <s v="Modelo Verde - Output"/>
    <x v="1"/>
    <s v="modesg_out_bens_imoveis"/>
    <s v="origem_scp1_emss"/>
    <x v="1"/>
    <s v="1. Concluído"/>
    <m/>
    <s v=""/>
    <s v=""/>
    <s v=""/>
    <m/>
    <m/>
    <x v="1"/>
  </r>
  <r>
    <x v="0"/>
    <s v="Modelo Verde - Output"/>
    <x v="1"/>
    <s v="modesg_out_bens_imoveis"/>
    <s v="origem_scp2_emss"/>
    <x v="1"/>
    <s v="1. Concluído"/>
    <m/>
    <s v=""/>
    <s v=""/>
    <s v=""/>
    <m/>
    <m/>
    <x v="1"/>
  </r>
  <r>
    <x v="0"/>
    <s v="Modelo Verde - Output"/>
    <x v="1"/>
    <s v="modesg_out_bens_imoveis"/>
    <s v="origem_scp3_emss"/>
    <x v="1"/>
    <s v="1. Concluído"/>
    <m/>
    <s v=""/>
    <s v=""/>
    <s v=""/>
    <m/>
    <m/>
    <x v="1"/>
  </r>
  <r>
    <x v="0"/>
    <s v="Modelo Verde - Output"/>
    <x v="1"/>
    <s v="modesg_out_bens_imoveis"/>
    <s v="ref_date"/>
    <x v="1"/>
    <s v="1. Concluído"/>
    <m/>
    <s v=""/>
    <s v=""/>
    <s v=""/>
    <m/>
    <m/>
    <x v="1"/>
  </r>
  <r>
    <x v="0"/>
    <s v="Modelo Verde - Output"/>
    <x v="1"/>
    <s v="modesg_out_bens_imoveis"/>
    <s v="scp1_emss"/>
    <x v="1"/>
    <s v="1. Concluído"/>
    <m/>
    <s v=""/>
    <s v=""/>
    <s v=""/>
    <m/>
    <m/>
    <x v="1"/>
  </r>
  <r>
    <x v="0"/>
    <s v="Modelo Verde - Output"/>
    <x v="1"/>
    <s v="modesg_out_bens_imoveis"/>
    <s v="scp2_emss"/>
    <x v="1"/>
    <s v="1. Concluído"/>
    <m/>
    <s v=""/>
    <s v=""/>
    <s v=""/>
    <m/>
    <m/>
    <x v="1"/>
  </r>
  <r>
    <x v="0"/>
    <s v="Modelo Verde - Output"/>
    <x v="1"/>
    <s v="modesg_out_bens_imoveis"/>
    <s v="scp3_emss"/>
    <x v="1"/>
    <s v="1. Concluído"/>
    <m/>
    <s v=""/>
    <s v=""/>
    <s v=""/>
    <m/>
    <m/>
    <x v="1"/>
  </r>
  <r>
    <x v="0"/>
    <s v="Modelo Verde - Output"/>
    <x v="1"/>
    <s v="modesg_out_bens_imoveis"/>
    <s v="unidade_funcional_scp1_emss"/>
    <x v="1"/>
    <s v="1. Concluído"/>
    <m/>
    <s v=""/>
    <s v=""/>
    <s v=""/>
    <m/>
    <m/>
    <x v="1"/>
  </r>
  <r>
    <x v="0"/>
    <s v="Modelo Verde - Output"/>
    <x v="1"/>
    <s v="modesg_out_bens_imoveis"/>
    <s v="unidade_funcional_scp2_emss"/>
    <x v="1"/>
    <s v="1. Concluído"/>
    <m/>
    <s v=""/>
    <s v=""/>
    <s v=""/>
    <m/>
    <m/>
    <x v="1"/>
  </r>
  <r>
    <x v="0"/>
    <s v="Modelo Verde - Output"/>
    <x v="1"/>
    <s v="modesg_out_bens_imoveis"/>
    <s v="unidade_funcional_scp3_emss"/>
    <x v="1"/>
    <s v="1. Concluído"/>
    <m/>
    <s v=""/>
    <s v=""/>
    <s v=""/>
    <m/>
    <m/>
    <x v="1"/>
  </r>
  <r>
    <x v="0"/>
    <s v="Modelo Verde - Output"/>
    <x v="0"/>
    <s v="modesg_out_empr_info_nfin"/>
    <s v="n.a."/>
    <x v="1"/>
    <s v="1. Concluído"/>
    <m/>
    <s v=""/>
    <s v=""/>
    <s v=""/>
    <m/>
    <m/>
    <x v="1"/>
  </r>
  <r>
    <x v="0"/>
    <s v="Modelo Verde - Output"/>
    <x v="1"/>
    <s v="modesg_out_empr_info_nfin"/>
    <s v="cca_capex_enblng_algnd"/>
    <x v="1"/>
    <s v="1. Concluído"/>
    <m/>
    <s v=""/>
    <s v=""/>
    <s v=""/>
    <m/>
    <m/>
    <x v="1"/>
  </r>
  <r>
    <x v="0"/>
    <s v="Modelo Verde - Output"/>
    <x v="1"/>
    <s v="modesg_out_empr_info_nfin"/>
    <s v="cca_capex_own_prfrmnce_algnd"/>
    <x v="1"/>
    <s v="1. Concluído"/>
    <m/>
    <s v=""/>
    <s v=""/>
    <s v=""/>
    <m/>
    <m/>
    <x v="1"/>
  </r>
  <r>
    <x v="0"/>
    <s v="Modelo Verde - Output"/>
    <x v="1"/>
    <s v="modesg_out_empr_info_nfin"/>
    <s v="cca_capex_ttl_elgbl"/>
    <x v="1"/>
    <s v="1. Concluído"/>
    <m/>
    <s v=""/>
    <s v=""/>
    <s v=""/>
    <m/>
    <m/>
    <x v="1"/>
  </r>
  <r>
    <x v="0"/>
    <s v="Modelo Verde - Output"/>
    <x v="1"/>
    <s v="modesg_out_empr_info_nfin"/>
    <s v="cca_trnvr_enblng_alignd"/>
    <x v="1"/>
    <s v="1. Concluído"/>
    <m/>
    <s v=""/>
    <s v=""/>
    <s v=""/>
    <m/>
    <m/>
    <x v="1"/>
  </r>
  <r>
    <x v="0"/>
    <s v="Modelo Verde - Output"/>
    <x v="1"/>
    <s v="modesg_out_empr_info_nfin"/>
    <s v="cca_trnvr_ttl_elgbl"/>
    <x v="1"/>
    <s v="1. Concluído"/>
    <m/>
    <s v=""/>
    <s v=""/>
    <s v=""/>
    <m/>
    <m/>
    <x v="1"/>
  </r>
  <r>
    <x v="0"/>
    <s v="Modelo Verde - Output"/>
    <x v="1"/>
    <s v="modesg_out_empr_info_nfin"/>
    <s v="cca_turnover_own_prfrmnce_algnd"/>
    <x v="1"/>
    <s v="1. Concluído"/>
    <m/>
    <s v=""/>
    <s v=""/>
    <s v=""/>
    <m/>
    <m/>
    <x v="1"/>
  </r>
  <r>
    <x v="0"/>
    <s v="Modelo Verde - Output"/>
    <x v="1"/>
    <s v="modesg_out_empr_info_nfin"/>
    <s v="ccm_capex_enblng_algnd"/>
    <x v="1"/>
    <s v="1. Concluído"/>
    <m/>
    <s v=""/>
    <s v=""/>
    <s v=""/>
    <m/>
    <m/>
    <x v="1"/>
  </r>
  <r>
    <x v="0"/>
    <s v="Modelo Verde - Output"/>
    <x v="1"/>
    <s v="modesg_out_empr_info_nfin"/>
    <s v="ccm_capex_own_prfrmnce_algnd"/>
    <x v="1"/>
    <s v="1. Concluído"/>
    <m/>
    <s v=""/>
    <s v=""/>
    <s v=""/>
    <m/>
    <m/>
    <x v="1"/>
  </r>
  <r>
    <x v="0"/>
    <s v="Modelo Verde - Output"/>
    <x v="1"/>
    <s v="modesg_out_empr_info_nfin"/>
    <s v="ccm_capex_trnstn_algnd"/>
    <x v="1"/>
    <s v="1. Concluído"/>
    <m/>
    <s v=""/>
    <s v=""/>
    <s v=""/>
    <m/>
    <m/>
    <x v="1"/>
  </r>
  <r>
    <x v="0"/>
    <s v="Modelo Verde - Output"/>
    <x v="1"/>
    <s v="modesg_out_empr_info_nfin"/>
    <s v="ccm_capex_ttl_elgbl"/>
    <x v="1"/>
    <s v="1. Concluído"/>
    <m/>
    <s v=""/>
    <s v=""/>
    <s v=""/>
    <m/>
    <m/>
    <x v="1"/>
  </r>
  <r>
    <x v="0"/>
    <s v="Modelo Verde - Output"/>
    <x v="1"/>
    <s v="modesg_out_empr_info_nfin"/>
    <s v="ccm_trnvr_enblng_algnd"/>
    <x v="1"/>
    <s v="1. Concluído"/>
    <m/>
    <s v=""/>
    <s v=""/>
    <s v=""/>
    <m/>
    <m/>
    <x v="1"/>
  </r>
  <r>
    <x v="0"/>
    <s v="Modelo Verde - Output"/>
    <x v="1"/>
    <s v="modesg_out_empr_info_nfin"/>
    <s v="ccm_trnvr_own_prfrmnce_algnd"/>
    <x v="1"/>
    <s v="1. Concluído"/>
    <m/>
    <s v=""/>
    <s v=""/>
    <s v=""/>
    <m/>
    <m/>
    <x v="1"/>
  </r>
  <r>
    <x v="0"/>
    <s v="Modelo Verde - Output"/>
    <x v="1"/>
    <s v="modesg_out_empr_info_nfin"/>
    <s v="ccm_trnvr_trnstn_alignd"/>
    <x v="1"/>
    <s v="1. Concluído"/>
    <m/>
    <s v=""/>
    <s v=""/>
    <s v=""/>
    <m/>
    <m/>
    <x v="1"/>
  </r>
  <r>
    <x v="0"/>
    <s v="Modelo Verde - Output"/>
    <x v="1"/>
    <s v="modesg_out_empr_info_nfin"/>
    <s v="ccm_trnvr_ttl_elgbl"/>
    <x v="1"/>
    <s v="1. Concluído"/>
    <m/>
    <s v=""/>
    <s v=""/>
    <s v=""/>
    <m/>
    <m/>
    <x v="1"/>
  </r>
  <r>
    <x v="0"/>
    <s v="Modelo Verde - Output"/>
    <x v="1"/>
    <s v="modesg_out_empr_info_nfin"/>
    <s v="ppc_trnvr_ttl_elgbl"/>
    <x v="1"/>
    <m/>
    <m/>
    <s v=""/>
    <s v=""/>
    <s v=""/>
    <m/>
    <m/>
    <x v="2"/>
  </r>
  <r>
    <x v="0"/>
    <s v="Modelo Verde - Output"/>
    <x v="1"/>
    <s v="modesg_out_empr_info_nfin"/>
    <s v="ppc_turnover_own_prfrmnce_algnd"/>
    <x v="1"/>
    <m/>
    <m/>
    <s v=""/>
    <s v=""/>
    <s v=""/>
    <m/>
    <m/>
    <x v="2"/>
  </r>
  <r>
    <x v="0"/>
    <s v="Modelo Verde - Output"/>
    <x v="1"/>
    <s v="modesg_out_empr_info_nfin"/>
    <s v="ppc_capex_ttl_elgbl"/>
    <x v="1"/>
    <m/>
    <m/>
    <s v=""/>
    <s v=""/>
    <s v=""/>
    <m/>
    <m/>
    <x v="2"/>
  </r>
  <r>
    <x v="0"/>
    <s v="Modelo Verde - Output"/>
    <x v="1"/>
    <s v="modesg_out_empr_info_nfin"/>
    <s v="ppc_capex_own_prfrmnce_algnd"/>
    <x v="1"/>
    <m/>
    <m/>
    <s v=""/>
    <s v=""/>
    <s v=""/>
    <m/>
    <m/>
    <x v="2"/>
  </r>
  <r>
    <x v="0"/>
    <s v="Modelo Verde - Output"/>
    <x v="1"/>
    <s v="modesg_out_empr_info_nfin"/>
    <s v="bio_trnvr_ttl_elgbl"/>
    <x v="1"/>
    <m/>
    <m/>
    <s v=""/>
    <s v=""/>
    <s v=""/>
    <m/>
    <m/>
    <x v="2"/>
  </r>
  <r>
    <x v="0"/>
    <s v="Modelo Verde - Output"/>
    <x v="1"/>
    <s v="modesg_out_empr_info_nfin"/>
    <s v="bio_turnover_own_prfrmnce_algnd"/>
    <x v="1"/>
    <m/>
    <m/>
    <s v=""/>
    <s v=""/>
    <s v=""/>
    <m/>
    <m/>
    <x v="2"/>
  </r>
  <r>
    <x v="0"/>
    <s v="Modelo Verde - Output"/>
    <x v="1"/>
    <s v="modesg_out_empr_info_nfin"/>
    <s v="bio_capex_ttl_elgbl"/>
    <x v="1"/>
    <m/>
    <m/>
    <s v=""/>
    <s v=""/>
    <s v=""/>
    <m/>
    <m/>
    <x v="2"/>
  </r>
  <r>
    <x v="0"/>
    <s v="Modelo Verde - Output"/>
    <x v="1"/>
    <s v="modesg_out_empr_info_nfin"/>
    <s v="bio_capex_own_prfrmnce_algnd"/>
    <x v="1"/>
    <m/>
    <m/>
    <s v=""/>
    <s v=""/>
    <s v=""/>
    <m/>
    <m/>
    <x v="2"/>
  </r>
  <r>
    <x v="0"/>
    <s v="Modelo Verde - Output"/>
    <x v="1"/>
    <s v="modesg_out_empr_info_nfin"/>
    <s v="wtr_trnvr_ttl_elgbl"/>
    <x v="1"/>
    <m/>
    <m/>
    <s v=""/>
    <s v=""/>
    <s v=""/>
    <m/>
    <m/>
    <x v="2"/>
  </r>
  <r>
    <x v="0"/>
    <s v="Modelo Verde - Output"/>
    <x v="1"/>
    <s v="modesg_out_empr_info_nfin"/>
    <s v="wtr_trnvr_enblng_alignd"/>
    <x v="1"/>
    <m/>
    <m/>
    <s v=""/>
    <s v=""/>
    <s v=""/>
    <m/>
    <m/>
    <x v="2"/>
  </r>
  <r>
    <x v="0"/>
    <s v="Modelo Verde - Output"/>
    <x v="1"/>
    <s v="modesg_out_empr_info_nfin"/>
    <s v="wtr_turnover_own_prfrmnce_algnd"/>
    <x v="1"/>
    <m/>
    <m/>
    <s v=""/>
    <s v=""/>
    <s v=""/>
    <m/>
    <m/>
    <x v="2"/>
  </r>
  <r>
    <x v="0"/>
    <s v="Modelo Verde - Output"/>
    <x v="1"/>
    <s v="modesg_out_empr_info_nfin"/>
    <s v="wtr_capex_ttl_elgbl"/>
    <x v="1"/>
    <m/>
    <m/>
    <s v=""/>
    <s v=""/>
    <s v=""/>
    <m/>
    <m/>
    <x v="2"/>
  </r>
  <r>
    <x v="0"/>
    <s v="Modelo Verde - Output"/>
    <x v="1"/>
    <s v="modesg_out_empr_info_nfin"/>
    <s v="wtr_capex_enblng_algnd"/>
    <x v="1"/>
    <m/>
    <m/>
    <s v=""/>
    <s v=""/>
    <s v=""/>
    <m/>
    <m/>
    <x v="2"/>
  </r>
  <r>
    <x v="0"/>
    <s v="Modelo Verde - Output"/>
    <x v="1"/>
    <s v="modesg_out_empr_info_nfin"/>
    <s v="wtr_capex_own_prfrmnce_algnd"/>
    <x v="1"/>
    <m/>
    <m/>
    <s v=""/>
    <s v=""/>
    <s v=""/>
    <m/>
    <m/>
    <x v="2"/>
  </r>
  <r>
    <x v="0"/>
    <s v="Modelo Verde - Output"/>
    <x v="1"/>
    <s v="modesg_out_empr_info_nfin"/>
    <s v="ce_trnvr_ttl_elgbl"/>
    <x v="1"/>
    <m/>
    <m/>
    <s v=""/>
    <s v=""/>
    <s v=""/>
    <m/>
    <m/>
    <x v="2"/>
  </r>
  <r>
    <x v="0"/>
    <s v="Modelo Verde - Output"/>
    <x v="1"/>
    <s v="modesg_out_empr_info_nfin"/>
    <s v="ce_trnvr_enblng_alignd"/>
    <x v="1"/>
    <m/>
    <m/>
    <s v=""/>
    <s v=""/>
    <s v=""/>
    <m/>
    <m/>
    <x v="2"/>
  </r>
  <r>
    <x v="0"/>
    <s v="Modelo Verde - Output"/>
    <x v="1"/>
    <s v="modesg_out_empr_info_nfin"/>
    <s v="ce_turnover_own_prfrmnce_algnd"/>
    <x v="1"/>
    <m/>
    <m/>
    <s v=""/>
    <s v=""/>
    <s v=""/>
    <m/>
    <m/>
    <x v="2"/>
  </r>
  <r>
    <x v="0"/>
    <s v="Modelo Verde - Output"/>
    <x v="1"/>
    <s v="modesg_out_empr_info_nfin"/>
    <s v="ce_capex_ttl_elgbl"/>
    <x v="1"/>
    <m/>
    <m/>
    <s v=""/>
    <s v=""/>
    <s v=""/>
    <m/>
    <m/>
    <x v="2"/>
  </r>
  <r>
    <x v="0"/>
    <s v="Modelo Verde - Output"/>
    <x v="1"/>
    <s v="modesg_out_empr_info_nfin"/>
    <s v="ce_capex_enblng_algnd"/>
    <x v="1"/>
    <m/>
    <m/>
    <s v=""/>
    <s v=""/>
    <s v=""/>
    <m/>
    <m/>
    <x v="2"/>
  </r>
  <r>
    <x v="0"/>
    <s v="Modelo Verde - Output"/>
    <x v="1"/>
    <s v="modesg_out_empr_info_nfin"/>
    <s v="ce_capex_own_prfrmnce_algnd"/>
    <x v="1"/>
    <m/>
    <m/>
    <s v=""/>
    <s v=""/>
    <s v=""/>
    <m/>
    <m/>
    <x v="2"/>
  </r>
  <r>
    <x v="0"/>
    <s v="Modelo Verde - Output"/>
    <x v="1"/>
    <s v="modesg_out_empr_info_nfin"/>
    <s v="cod_nace_esg"/>
    <x v="6"/>
    <s v="2.2 Em Re-especificação"/>
    <m/>
    <s v=""/>
    <s v=""/>
    <s v=""/>
    <m/>
    <m/>
    <x v="1"/>
  </r>
  <r>
    <x v="0"/>
    <s v="Modelo Verde - Output"/>
    <x v="1"/>
    <s v="modesg_out_empr_info_nfin"/>
    <s v="flg_emprs_excl_paris"/>
    <x v="1"/>
    <s v="2.1 Em Teste"/>
    <m/>
    <s v=""/>
    <s v=""/>
    <s v=""/>
    <m/>
    <m/>
    <x v="1"/>
  </r>
  <r>
    <x v="0"/>
    <s v="Modelo Verde - Output"/>
    <x v="1"/>
    <s v="modesg_out_empr_info_nfin"/>
    <s v="flg_nfrd"/>
    <x v="1"/>
    <s v="2.1 Em Teste"/>
    <m/>
    <s v=""/>
    <s v=""/>
    <s v=""/>
    <m/>
    <m/>
    <x v="1"/>
  </r>
  <r>
    <x v="0"/>
    <s v="Modelo Verde - Output"/>
    <x v="1"/>
    <s v="modesg_out_empr_info_nfin"/>
    <s v="flg_rsc_fsc_agd"/>
    <x v="6"/>
    <s v="1. Concluído"/>
    <m/>
    <s v=""/>
    <s v=""/>
    <s v=""/>
    <m/>
    <m/>
    <x v="1"/>
  </r>
  <r>
    <x v="0"/>
    <s v="Modelo Verde - Output"/>
    <x v="1"/>
    <s v="modesg_out_empr_info_nfin"/>
    <s v="flg_rsc_fsc_crnc"/>
    <x v="6"/>
    <s v="1. Concluído"/>
    <m/>
    <s v=""/>
    <s v=""/>
    <s v=""/>
    <m/>
    <m/>
    <x v="1"/>
  </r>
  <r>
    <x v="0"/>
    <s v="Modelo Verde - Output"/>
    <x v="1"/>
    <s v="modesg_out_empr_info_nfin"/>
    <s v="origem_alinhamentos"/>
    <x v="1"/>
    <s v="1. Concluído"/>
    <m/>
    <s v=""/>
    <s v=""/>
    <s v=""/>
    <m/>
    <m/>
    <x v="1"/>
  </r>
  <r>
    <x v="0"/>
    <s v="Modelo Verde - Output"/>
    <x v="1"/>
    <s v="modesg_out_empr_info_nfin"/>
    <s v="origem_flg_emprs_excl_paris"/>
    <x v="1"/>
    <s v="2.1 Em Teste"/>
    <m/>
    <s v=""/>
    <s v=""/>
    <s v=""/>
    <m/>
    <m/>
    <x v="1"/>
  </r>
  <r>
    <x v="0"/>
    <s v="Modelo Verde - Output"/>
    <x v="1"/>
    <s v="modesg_out_empr_info_nfin"/>
    <s v="origem_flg_nfrd"/>
    <x v="1"/>
    <s v="1. Concluído"/>
    <m/>
    <s v=""/>
    <s v=""/>
    <s v=""/>
    <m/>
    <m/>
    <x v="1"/>
  </r>
  <r>
    <x v="0"/>
    <s v="Modelo Verde - Output"/>
    <x v="1"/>
    <s v="modesg_out_empr_info_nfin"/>
    <s v="origem_flg_rsc_fsc_agd"/>
    <x v="6"/>
    <s v="1. Concluído"/>
    <m/>
    <s v=""/>
    <s v=""/>
    <s v=""/>
    <m/>
    <m/>
    <x v="1"/>
  </r>
  <r>
    <x v="0"/>
    <s v="Modelo Verde - Output"/>
    <x v="1"/>
    <s v="modesg_out_empr_info_nfin"/>
    <s v="origem_flg_rsc_fsc_crnc"/>
    <x v="6"/>
    <s v="1. Concluído"/>
    <m/>
    <s v=""/>
    <s v=""/>
    <s v=""/>
    <m/>
    <m/>
    <x v="1"/>
  </r>
  <r>
    <x v="0"/>
    <s v="Modelo Verde - Output"/>
    <x v="1"/>
    <s v="modesg_out_empr_info_nfin"/>
    <s v="origem_scp1_emss"/>
    <x v="7"/>
    <s v="6. Em implementação (re-especificação)"/>
    <m/>
    <s v=""/>
    <s v=""/>
    <s v=""/>
    <m/>
    <m/>
    <x v="1"/>
  </r>
  <r>
    <x v="0"/>
    <s v="Modelo Verde - Output"/>
    <x v="1"/>
    <s v="modesg_out_empr_info_nfin"/>
    <s v="origem_scp2_emss"/>
    <x v="7"/>
    <s v="6. Em implementação (re-especificação)"/>
    <m/>
    <s v=""/>
    <s v=""/>
    <s v=""/>
    <m/>
    <m/>
    <x v="1"/>
  </r>
  <r>
    <x v="0"/>
    <s v="Modelo Verde - Output"/>
    <x v="1"/>
    <s v="modesg_out_empr_info_nfin"/>
    <s v="origem_scp3_emss"/>
    <x v="7"/>
    <s v="6. Em implementação (re-especificação)"/>
    <m/>
    <s v=""/>
    <s v=""/>
    <s v=""/>
    <m/>
    <m/>
    <x v="1"/>
  </r>
  <r>
    <x v="0"/>
    <s v="Modelo Verde - Output"/>
    <x v="1"/>
    <s v="modesg_out_empr_info_nfin"/>
    <s v="ref_date"/>
    <x v="1"/>
    <s v="1. Concluído"/>
    <m/>
    <s v=""/>
    <s v=""/>
    <s v=""/>
    <m/>
    <m/>
    <x v="1"/>
  </r>
  <r>
    <x v="0"/>
    <s v="Modelo Verde - Output"/>
    <x v="1"/>
    <s v="modesg_out_empr_info_nfin"/>
    <s v="scp1_emss"/>
    <x v="7"/>
    <s v="6. Em implementação (re-especificação)"/>
    <m/>
    <s v=""/>
    <s v=""/>
    <s v=""/>
    <m/>
    <m/>
    <x v="1"/>
  </r>
  <r>
    <x v="0"/>
    <s v="Modelo Verde - Output"/>
    <x v="1"/>
    <s v="modesg_out_empr_info_nfin"/>
    <s v="scp2_emss"/>
    <x v="7"/>
    <s v="6. Em implementação (re-especificação)"/>
    <m/>
    <s v=""/>
    <s v=""/>
    <s v=""/>
    <m/>
    <m/>
    <x v="1"/>
  </r>
  <r>
    <x v="0"/>
    <s v="Modelo Verde - Output"/>
    <x v="1"/>
    <s v="modesg_out_empr_info_nfin"/>
    <s v="scp3_emss"/>
    <x v="7"/>
    <s v="6. Em implementação (re-especificação)"/>
    <m/>
    <s v=""/>
    <s v=""/>
    <s v=""/>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s v=""/>
    <s v=""/>
    <s v=""/>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s v=""/>
    <s v=""/>
    <s v=""/>
    <m/>
    <m/>
    <x v="1"/>
  </r>
  <r>
    <x v="0"/>
    <s v="Modelo Verde - Output"/>
    <x v="1"/>
    <s v="modesg_out_emss_vcls"/>
    <s v="origem_scp1_emss"/>
    <x v="1"/>
    <s v="1. Concluído"/>
    <s v="13/09/2024: Dependente da TAT para identificação de códigos de veículos"/>
    <s v=""/>
    <s v=""/>
    <s v=""/>
    <m/>
    <m/>
    <x v="1"/>
  </r>
  <r>
    <x v="0"/>
    <s v="Modelo Verde - Output"/>
    <x v="1"/>
    <s v="modesg_out_emss_vcls"/>
    <s v="origem_scp2_emss"/>
    <x v="1"/>
    <s v="1. Concluído"/>
    <s v="13/09/2024: Dependente da TAT para identificação de códigos de veículos"/>
    <s v=""/>
    <s v=""/>
    <s v=""/>
    <m/>
    <m/>
    <x v="1"/>
  </r>
  <r>
    <x v="0"/>
    <s v="Modelo Verde - Output"/>
    <x v="1"/>
    <s v="modesg_out_emss_vcls"/>
    <s v="origem_scp3_emss"/>
    <x v="1"/>
    <s v="1. Concluído"/>
    <s v="13/09/2024: Dependente da TAT para identificação de códigos de veículos"/>
    <s v=""/>
    <s v=""/>
    <s v=""/>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s v=""/>
    <s v=""/>
    <s v=""/>
    <m/>
    <m/>
    <x v="1"/>
  </r>
  <r>
    <x v="0"/>
    <s v="Modelo Verde - Output"/>
    <x v="1"/>
    <s v="modesg_out_emss_vcls"/>
    <s v="scp2_emss"/>
    <x v="1"/>
    <s v="1. Concluído"/>
    <s v="13/09/2024: Dependente da TAT para identificação de códigos de veículos"/>
    <s v=""/>
    <s v=""/>
    <s v=""/>
    <m/>
    <m/>
    <x v="1"/>
  </r>
  <r>
    <x v="0"/>
    <s v="Modelo Verde - Output"/>
    <x v="1"/>
    <s v="modesg_out_emss_vcls"/>
    <s v="scp3_emss"/>
    <x v="1"/>
    <s v="1. Concluído"/>
    <s v="13/09/2024: Dependente da TAT para identificação de códigos de veículos"/>
    <s v=""/>
    <s v=""/>
    <s v=""/>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ics_taxon_europeia"/>
    <s v="n.a."/>
    <x v="4"/>
    <s v="2.2 Em Re-especificação"/>
    <s v="Re-especificação "/>
    <s v=""/>
    <s v=""/>
    <s v=""/>
    <m/>
    <m/>
    <x v="1"/>
  </r>
  <r>
    <x v="0"/>
    <s v="Modelo Verde - Output"/>
    <x v="1"/>
    <s v="modesg_out_sfics_taxon_europeia"/>
    <s v="cbalcao"/>
    <x v="4"/>
    <s v="2.2 Em Re-especificação"/>
    <s v="Re-especificação "/>
    <s v=""/>
    <s v=""/>
    <s v=""/>
    <m/>
    <m/>
    <x v="1"/>
  </r>
  <r>
    <x v="0"/>
    <s v="Modelo Verde - Output"/>
    <x v="1"/>
    <s v="modesg_out_sfics_taxon_europeia"/>
    <s v="cempresa"/>
    <x v="4"/>
    <s v="2.2 Em Re-especificação"/>
    <s v="Re-especificação "/>
    <s v=""/>
    <s v=""/>
    <s v=""/>
    <m/>
    <m/>
    <x v="1"/>
  </r>
  <r>
    <x v="0"/>
    <s v="Modelo Verde - Output"/>
    <x v="1"/>
    <s v="modesg_out_sfics_taxon_europeia"/>
    <s v="cnumecta"/>
    <x v="4"/>
    <s v="2.2 Em Re-especificação"/>
    <s v="Re-especificação "/>
    <s v=""/>
    <s v=""/>
    <s v=""/>
    <m/>
    <m/>
    <x v="1"/>
  </r>
  <r>
    <x v="0"/>
    <s v="Modelo Verde - Output"/>
    <x v="1"/>
    <s v="modesg_out_sfics_taxon_europeia"/>
    <s v="cod_regra"/>
    <x v="4"/>
    <s v="2.2 Em Re-especificação"/>
    <s v="Re-especificação "/>
    <s v=""/>
    <s v=""/>
    <s v=""/>
    <m/>
    <m/>
    <x v="1"/>
  </r>
  <r>
    <x v="0"/>
    <s v="Modelo Verde - Output"/>
    <x v="1"/>
    <s v="modesg_out_sfics_taxon_europeia"/>
    <s v="ordem"/>
    <x v="2"/>
    <s v="0. Cancelado"/>
    <s v="Campo removido "/>
    <s v=""/>
    <s v=""/>
    <s v=""/>
    <m/>
    <m/>
    <x v="1"/>
  </r>
  <r>
    <x v="0"/>
    <s v="Modelo Verde - Output"/>
    <x v="1"/>
    <s v="modesg_out_sfics_taxon_europeia"/>
    <s v="montante_pndrc"/>
    <x v="4"/>
    <s v="2.2 Em Re-especificação"/>
    <s v="Re-especificação "/>
    <s v=""/>
    <s v=""/>
    <s v=""/>
    <m/>
    <m/>
    <x v="1"/>
  </r>
  <r>
    <x v="0"/>
    <s v="Modelo Verde - Output"/>
    <x v="1"/>
    <s v="modesg_out_sfics_taxon_europeia"/>
    <s v="nome_ctgr_sfics"/>
    <x v="4"/>
    <s v="2.2 Em Re-especificação"/>
    <s v="Re-especificação "/>
    <s v=""/>
    <s v=""/>
    <s v=""/>
    <m/>
    <m/>
    <x v="1"/>
  </r>
  <r>
    <x v="0"/>
    <s v="Modelo Verde - Output"/>
    <x v="1"/>
    <s v="modesg_out_sfics_taxon_europeia"/>
    <s v="nome_general_specific_purpose"/>
    <x v="4"/>
    <s v="2.2 Em Re-especificação"/>
    <s v="Re-especificação "/>
    <s v=""/>
    <s v=""/>
    <s v=""/>
    <m/>
    <m/>
    <x v="1"/>
  </r>
  <r>
    <x v="0"/>
    <s v="Modelo Verde - Output"/>
    <x v="1"/>
    <s v="modesg_out_sfics_taxon_europeia"/>
    <s v="nome_purpose_esg_alinh_tax"/>
    <x v="4"/>
    <s v="2.2 Em Re-especificação"/>
    <s v="Re-especificação "/>
    <s v=""/>
    <s v=""/>
    <s v=""/>
    <m/>
    <m/>
    <x v="1"/>
  </r>
  <r>
    <x v="0"/>
    <s v="Modelo Verde - Output"/>
    <x v="1"/>
    <s v="modesg_out_sfics_taxon_europeia"/>
    <s v="nome_purpose_esg_nalinh_tax"/>
    <x v="4"/>
    <s v="2.2 Em Re-especificação"/>
    <s v="Re-especificação "/>
    <s v=""/>
    <s v=""/>
    <s v=""/>
    <m/>
    <m/>
    <x v="1"/>
  </r>
  <r>
    <x v="0"/>
    <s v="Modelo Verde - Output"/>
    <x v="1"/>
    <s v="modesg_out_sfics_taxon_europeia"/>
    <s v="nome_specific_eligible"/>
    <x v="4"/>
    <s v="2.2 Em Re-especificação"/>
    <s v="Re-especificação "/>
    <s v=""/>
    <s v=""/>
    <s v=""/>
    <m/>
    <m/>
    <x v="1"/>
  </r>
  <r>
    <x v="0"/>
    <s v="Modelo Verde - Output"/>
    <x v="1"/>
    <s v="modesg_out_sfics_taxon_europeia"/>
    <s v="nome_specific_sustainable"/>
    <x v="4"/>
    <s v="2.2 Em Re-especificação"/>
    <s v="Re-especificação "/>
    <s v=""/>
    <s v=""/>
    <s v=""/>
    <m/>
    <m/>
    <x v="1"/>
  </r>
  <r>
    <x v="0"/>
    <s v="Modelo Verde - Output"/>
    <x v="1"/>
    <s v="modesg_out_sfics_taxon_europeia"/>
    <s v="origem"/>
    <x v="1"/>
    <s v="1. Concluído"/>
    <m/>
    <s v=""/>
    <s v=""/>
    <s v=""/>
    <m/>
    <m/>
    <x v="1"/>
  </r>
  <r>
    <x v="0"/>
    <s v="Modelo Verde - Output"/>
    <x v="1"/>
    <s v="modesg_out_sfics_taxon_europeia"/>
    <s v="ref_date"/>
    <x v="4"/>
    <s v="2.2 Em Re-especificação"/>
    <s v="Re-especificação "/>
    <s v=""/>
    <s v=""/>
    <s v=""/>
    <m/>
    <m/>
    <x v="1"/>
  </r>
  <r>
    <x v="0"/>
    <s v="Modelo Verde - Output"/>
    <x v="1"/>
    <s v="modesg_out_sfics_taxon_europeia"/>
    <s v="zdeposit"/>
    <x v="4"/>
    <s v="2.2 Em Re-especificação"/>
    <s v="Re-especificação "/>
    <s v=""/>
    <s v=""/>
    <s v=""/>
    <m/>
    <m/>
    <x v="1"/>
  </r>
  <r>
    <x v="0"/>
    <s v="Pilar III"/>
    <x v="1"/>
    <s v="lt003_entity"/>
    <s v="nace_esg"/>
    <x v="6"/>
    <s v="3. Pendente de outros desenvolvimentos"/>
    <m/>
    <s v=""/>
    <s v=""/>
    <s v=""/>
    <m/>
    <m/>
    <x v="3"/>
  </r>
  <r>
    <x v="0"/>
    <s v="Pilar III"/>
    <x v="1"/>
    <s v="lt003_entity"/>
    <s v="txnmy_elgbl_capex_ccm"/>
    <x v="1"/>
    <s v="1. Concluído"/>
    <m/>
    <s v=""/>
    <s v=""/>
    <s v=""/>
    <m/>
    <m/>
    <x v="3"/>
  </r>
  <r>
    <x v="0"/>
    <s v="Pilar III"/>
    <x v="1"/>
    <s v="lt003_entity"/>
    <s v="txnmy_elgbl_trnvr_ccm"/>
    <x v="1"/>
    <s v="1. Concluído"/>
    <m/>
    <s v=""/>
    <s v=""/>
    <s v=""/>
    <m/>
    <m/>
    <x v="3"/>
  </r>
  <r>
    <x v="0"/>
    <s v="Pilar III"/>
    <x v="1"/>
    <s v="lt003_entity"/>
    <s v="txnmy_elgbl_capex_cca"/>
    <x v="1"/>
    <s v="1. Concluído"/>
    <m/>
    <s v=""/>
    <s v=""/>
    <s v=""/>
    <m/>
    <m/>
    <x v="3"/>
  </r>
  <r>
    <x v="0"/>
    <s v="Pilar III"/>
    <x v="1"/>
    <s v="lt003_entity"/>
    <s v="txnmy_elgbl_trnvr_cca"/>
    <x v="1"/>
    <s v="1. Concluído"/>
    <m/>
    <s v=""/>
    <s v=""/>
    <s v=""/>
    <m/>
    <m/>
    <x v="3"/>
  </r>
  <r>
    <x v="0"/>
    <s v="Pilar III"/>
    <x v="1"/>
    <s v="lt003_entity"/>
    <s v="enblng_capex_ccm"/>
    <x v="1"/>
    <s v="1. Concluído"/>
    <m/>
    <s v=""/>
    <s v=""/>
    <s v=""/>
    <m/>
    <m/>
    <x v="3"/>
  </r>
  <r>
    <x v="0"/>
    <s v="Pilar III"/>
    <x v="1"/>
    <s v="lt003_entity"/>
    <s v="enblng_capex_cca"/>
    <x v="1"/>
    <s v="1. Concluído"/>
    <m/>
    <s v=""/>
    <s v=""/>
    <s v=""/>
    <m/>
    <m/>
    <x v="3"/>
  </r>
  <r>
    <x v="0"/>
    <s v="Pilar III"/>
    <x v="1"/>
    <s v="lt003_entity"/>
    <s v="trnstnl_capex"/>
    <x v="1"/>
    <s v="1. Concluído"/>
    <m/>
    <s v=""/>
    <s v=""/>
    <s v=""/>
    <m/>
    <m/>
    <x v="3"/>
  </r>
  <r>
    <x v="0"/>
    <s v="Pilar III"/>
    <x v="1"/>
    <s v="lt003_entity"/>
    <s v="pure_capex_ccm"/>
    <x v="1"/>
    <s v="1. Concluído"/>
    <m/>
    <s v=""/>
    <s v=""/>
    <s v=""/>
    <m/>
    <m/>
    <x v="3"/>
  </r>
  <r>
    <x v="0"/>
    <s v="Pilar III"/>
    <x v="1"/>
    <s v="lt003_entity"/>
    <s v="pure_capex_cca"/>
    <x v="1"/>
    <s v="1. Concluído"/>
    <m/>
    <s v=""/>
    <s v=""/>
    <s v=""/>
    <m/>
    <m/>
    <x v="3"/>
  </r>
  <r>
    <x v="0"/>
    <s v="Pilar III"/>
    <x v="1"/>
    <s v="lt003_entity"/>
    <s v="enblng_trnvr_ccm"/>
    <x v="1"/>
    <s v="1. Concluído"/>
    <m/>
    <s v=""/>
    <s v=""/>
    <s v=""/>
    <m/>
    <m/>
    <x v="3"/>
  </r>
  <r>
    <x v="0"/>
    <s v="Pilar III"/>
    <x v="1"/>
    <s v="lt003_entity"/>
    <s v="enblng_trnvr_cca"/>
    <x v="1"/>
    <s v="1. Concluído"/>
    <m/>
    <s v=""/>
    <s v=""/>
    <s v=""/>
    <m/>
    <m/>
    <x v="3"/>
  </r>
  <r>
    <x v="0"/>
    <s v="Pilar III"/>
    <x v="1"/>
    <s v="lt003_entity"/>
    <s v="trnstnl_trnvr"/>
    <x v="1"/>
    <s v="1. Concluído"/>
    <m/>
    <s v=""/>
    <s v=""/>
    <s v=""/>
    <m/>
    <m/>
    <x v="3"/>
  </r>
  <r>
    <x v="0"/>
    <s v="Pilar III"/>
    <x v="1"/>
    <s v="lt003_entity"/>
    <s v="pure_trnvr_ccm"/>
    <x v="1"/>
    <s v="1. Concluído"/>
    <m/>
    <s v=""/>
    <s v=""/>
    <s v=""/>
    <m/>
    <m/>
    <x v="3"/>
  </r>
  <r>
    <x v="0"/>
    <s v="Pilar III"/>
    <x v="1"/>
    <s v="lt003_entity"/>
    <s v="pure_trnvr_cca"/>
    <x v="1"/>
    <s v="1. Concluído"/>
    <m/>
    <s v=""/>
    <s v=""/>
    <s v=""/>
    <m/>
    <m/>
    <x v="3"/>
  </r>
  <r>
    <x v="0"/>
    <s v="Pilar III"/>
    <x v="1"/>
    <s v="lt003_entity"/>
    <s v="flg_nfrd_applcblty"/>
    <x v="1"/>
    <s v="1. Concluído"/>
    <m/>
    <s v=""/>
    <s v=""/>
    <s v=""/>
    <m/>
    <m/>
    <x v="3"/>
  </r>
  <r>
    <x v="0"/>
    <s v="Pilar III"/>
    <x v="1"/>
    <s v="lt003_entity"/>
    <s v="cntrprty_emssns_scp1"/>
    <x v="1"/>
    <s v="3. Pendente de outros desenvolvimentos"/>
    <m/>
    <s v=""/>
    <s v=""/>
    <s v=""/>
    <m/>
    <m/>
    <x v="3"/>
  </r>
  <r>
    <x v="0"/>
    <s v="Pilar III"/>
    <x v="1"/>
    <s v="lt003_entity"/>
    <s v="cntrprty_emssns_scp2"/>
    <x v="1"/>
    <s v="3. Pendente de outros desenvolvimentos"/>
    <m/>
    <s v=""/>
    <s v=""/>
    <s v=""/>
    <m/>
    <m/>
    <x v="3"/>
  </r>
  <r>
    <x v="0"/>
    <s v="Pilar III"/>
    <x v="1"/>
    <s v="lt003_entity"/>
    <s v="cntrprty_emssns_scp3"/>
    <x v="1"/>
    <s v="3. Pendente de outros desenvolvimentos"/>
    <m/>
    <s v=""/>
    <s v=""/>
    <s v=""/>
    <m/>
    <m/>
    <x v="3"/>
  </r>
  <r>
    <x v="0"/>
    <s v="Pilar III"/>
    <x v="1"/>
    <s v="lt003_entity"/>
    <s v="flg_excldd_eu_prs_algnd_bnchmrk"/>
    <x v="1"/>
    <s v="1. Concluído"/>
    <m/>
    <s v=""/>
    <s v=""/>
    <s v=""/>
    <m/>
    <m/>
    <x v="3"/>
  </r>
  <r>
    <x v="0"/>
    <s v="Pilar III"/>
    <x v="1"/>
    <s v="lt003_entity"/>
    <s v="flg_act_physcl_rsk"/>
    <x v="7"/>
    <s v="1. Concluído"/>
    <m/>
    <s v=""/>
    <s v=""/>
    <s v=""/>
    <m/>
    <m/>
    <x v="3"/>
  </r>
  <r>
    <x v="0"/>
    <s v="Pilar III"/>
    <x v="1"/>
    <s v="lt003_entity"/>
    <s v="flg_chrnc_physcl_rsk"/>
    <x v="7"/>
    <s v="1. Concluído"/>
    <m/>
    <s v=""/>
    <s v=""/>
    <s v=""/>
    <m/>
    <m/>
    <x v="3"/>
  </r>
  <r>
    <x v="0"/>
    <s v="Pilar III"/>
    <x v="1"/>
    <s v="lt003_entity"/>
    <s v="pst_cd"/>
    <x v="1"/>
    <s v="1. Concluído"/>
    <m/>
    <s v=""/>
    <s v=""/>
    <s v=""/>
    <m/>
    <m/>
    <x v="3"/>
  </r>
  <r>
    <x v="0"/>
    <s v="Pilar III"/>
    <x v="1"/>
    <s v="lt003_entity"/>
    <s v="esg_sbsctr"/>
    <x v="7"/>
    <s v="1. Concluído"/>
    <m/>
    <s v=""/>
    <s v=""/>
    <s v=""/>
    <m/>
    <m/>
    <x v="3"/>
  </r>
  <r>
    <x v="0"/>
    <s v="Pilar III"/>
    <x v="1"/>
    <s v="lt003_entity"/>
    <s v="ttl_lblty"/>
    <x v="1"/>
    <s v="1. Concluído"/>
    <m/>
    <s v=""/>
    <s v=""/>
    <s v=""/>
    <d v="2024-10-28T00:00:00"/>
    <m/>
    <x v="3"/>
  </r>
  <r>
    <x v="0"/>
    <s v="Pilar III"/>
    <x v="1"/>
    <s v="lt003_entity"/>
    <s v="isin"/>
    <x v="1"/>
    <s v="1. Concluído"/>
    <m/>
    <s v=""/>
    <s v=""/>
    <s v=""/>
    <d v="2024-10-23T00:00:00"/>
    <m/>
    <x v="3"/>
  </r>
  <r>
    <x v="0"/>
    <s v="Pilar III"/>
    <x v="1"/>
    <s v="lt003_entity"/>
    <s v="grp_annl_trnvr_le"/>
    <x v="1"/>
    <s v="1. Concluído"/>
    <m/>
    <s v=""/>
    <s v=""/>
    <s v=""/>
    <d v="2024-10-28T00:00:00"/>
    <m/>
    <x v="3"/>
  </r>
  <r>
    <x v="0"/>
    <s v="Pilar III"/>
    <x v="1"/>
    <s v="lt003_entity"/>
    <s v="grp_ttl_lblty"/>
    <x v="1"/>
    <s v="1. Concluído"/>
    <m/>
    <s v=""/>
    <s v=""/>
    <s v=""/>
    <d v="2024-10-28T00:00:00"/>
    <m/>
    <x v="3"/>
  </r>
  <r>
    <x v="0"/>
    <s v="Pilar III"/>
    <x v="1"/>
    <s v="lt003_entity"/>
    <s v="flg_grp_nfrd_applcblty"/>
    <x v="1"/>
    <s v="1. Concluído"/>
    <m/>
    <s v=""/>
    <s v=""/>
    <s v=""/>
    <d v="2024-10-23T00:00:00"/>
    <m/>
    <x v="3"/>
  </r>
  <r>
    <x v="0"/>
    <s v="Pilar III"/>
    <x v="1"/>
    <s v="lt003_entity"/>
    <s v="grp_emssns_scp1"/>
    <x v="1"/>
    <s v="3. Pendente de outros desenvolvimentos"/>
    <m/>
    <s v=""/>
    <s v=""/>
    <s v=""/>
    <d v="2024-10-23T00:00:00"/>
    <m/>
    <x v="3"/>
  </r>
  <r>
    <x v="0"/>
    <s v="Pilar III"/>
    <x v="1"/>
    <s v="lt003_entity"/>
    <s v="grp_emssns_scp2"/>
    <x v="1"/>
    <s v="3. Pendente de outros desenvolvimentos"/>
    <m/>
    <s v=""/>
    <s v=""/>
    <s v=""/>
    <d v="2024-10-23T00:00:00"/>
    <m/>
    <x v="3"/>
  </r>
  <r>
    <x v="0"/>
    <s v="Pilar III"/>
    <x v="1"/>
    <s v="lt003_entity"/>
    <s v="grp_emssns_scp3"/>
    <x v="1"/>
    <s v="3. Pendente de outros desenvolvimentos"/>
    <m/>
    <s v=""/>
    <s v=""/>
    <s v=""/>
    <d v="2024-10-23T00:00:00"/>
    <m/>
    <x v="3"/>
  </r>
  <r>
    <x v="0"/>
    <s v="Pilar III"/>
    <x v="1"/>
    <s v="lt004_protection"/>
    <s v="typ_ep_scr"/>
    <x v="1"/>
    <s v="1. Concluído"/>
    <m/>
    <s v=""/>
    <s v=""/>
    <s v=""/>
    <m/>
    <m/>
    <x v="3"/>
  </r>
  <r>
    <x v="0"/>
    <s v="Pilar III"/>
    <x v="1"/>
    <s v="lt004_protection"/>
    <s v="ep_scr"/>
    <x v="1"/>
    <s v="1. Concluído"/>
    <m/>
    <s v=""/>
    <s v=""/>
    <s v=""/>
    <m/>
    <m/>
    <x v="3"/>
  </r>
  <r>
    <x v="0"/>
    <s v="Pilar III"/>
    <x v="1"/>
    <s v="lt004_protection"/>
    <s v="typ_epc_lbl"/>
    <x v="1"/>
    <s v="1. Concluído"/>
    <m/>
    <s v=""/>
    <s v=""/>
    <s v=""/>
    <m/>
    <m/>
    <x v="3"/>
  </r>
  <r>
    <x v="0"/>
    <s v="Pilar III"/>
    <x v="1"/>
    <s v="lt004_protection"/>
    <s v="epc_lbl"/>
    <x v="1"/>
    <s v="1. Concluído"/>
    <m/>
    <s v=""/>
    <s v=""/>
    <s v=""/>
    <m/>
    <m/>
    <x v="3"/>
  </r>
  <r>
    <x v="0"/>
    <s v="Pilar III"/>
    <x v="1"/>
    <s v="lt004_protection"/>
    <s v="emssns_scp1_prtctn"/>
    <x v="1"/>
    <s v="1. Concluído"/>
    <m/>
    <s v=""/>
    <s v=""/>
    <s v=""/>
    <m/>
    <m/>
    <x v="3"/>
  </r>
  <r>
    <x v="0"/>
    <s v="Pilar III"/>
    <x v="1"/>
    <s v="lt004_protection"/>
    <s v="emssns_scp2_prtctn"/>
    <x v="1"/>
    <s v="1. Concluído"/>
    <m/>
    <s v=""/>
    <s v=""/>
    <s v=""/>
    <m/>
    <m/>
    <x v="3"/>
  </r>
  <r>
    <x v="0"/>
    <s v="Pilar III"/>
    <x v="1"/>
    <s v="lt004_protection"/>
    <s v="emssns_scp3_prtctn"/>
    <x v="1"/>
    <s v="1. Concluído"/>
    <m/>
    <s v=""/>
    <s v=""/>
    <s v=""/>
    <m/>
    <m/>
    <x v="3"/>
  </r>
  <r>
    <x v="0"/>
    <s v="Pilar III"/>
    <x v="1"/>
    <s v="lt004_protection"/>
    <s v="mthd_usd_prtctn_scp_1"/>
    <x v="1"/>
    <s v="1. Concluído"/>
    <m/>
    <s v=""/>
    <s v=""/>
    <s v=""/>
    <m/>
    <m/>
    <x v="3"/>
  </r>
  <r>
    <x v="0"/>
    <s v="Pilar III"/>
    <x v="1"/>
    <s v="lt004_protection"/>
    <s v="mthd_usd_prtctn_scp_2"/>
    <x v="1"/>
    <s v="1. Concluído"/>
    <m/>
    <s v=""/>
    <s v=""/>
    <s v=""/>
    <m/>
    <m/>
    <x v="3"/>
  </r>
  <r>
    <x v="0"/>
    <s v="Pilar III"/>
    <x v="1"/>
    <s v="lt004_protection"/>
    <s v="mthd_usd_prtctn_scp_3"/>
    <x v="1"/>
    <s v="1. Concluído"/>
    <m/>
    <s v=""/>
    <s v=""/>
    <s v=""/>
    <m/>
    <m/>
    <x v="3"/>
  </r>
  <r>
    <x v="0"/>
    <s v="Pilar III"/>
    <x v="1"/>
    <s v="lt004_protection"/>
    <s v="flg_act_physcl_rsk"/>
    <x v="7"/>
    <s v="1. Concluído"/>
    <m/>
    <s v=""/>
    <s v=""/>
    <s v=""/>
    <m/>
    <m/>
    <x v="3"/>
  </r>
  <r>
    <x v="0"/>
    <s v="Pilar III"/>
    <x v="1"/>
    <s v="lt004_protection"/>
    <s v="flg_chrnc_physcl_rsk"/>
    <x v="7"/>
    <s v="1. Concluído"/>
    <m/>
    <s v=""/>
    <s v=""/>
    <s v=""/>
    <m/>
    <m/>
    <x v="3"/>
  </r>
  <r>
    <x v="0"/>
    <s v="Pilar III"/>
    <x v="1"/>
    <s v="lt002_instrument"/>
    <s v="rsk_mtgtd_cct"/>
    <x v="1"/>
    <s v="1. Concluído"/>
    <m/>
    <s v=""/>
    <s v=""/>
    <s v=""/>
    <d v="2024-10-30T00:00:00"/>
    <m/>
    <x v="3"/>
  </r>
  <r>
    <x v="0"/>
    <s v="Pilar III"/>
    <x v="1"/>
    <s v="lt002_instrument"/>
    <s v="rsk_mtgtd_ccp"/>
    <x v="7"/>
    <s v="4. Validação EF"/>
    <m/>
    <s v=""/>
    <s v=""/>
    <s v=""/>
    <d v="2024-10-30T00:00:00"/>
    <m/>
    <x v="3"/>
  </r>
  <r>
    <x v="0"/>
    <s v="Pilar III"/>
    <x v="1"/>
    <s v="lt007_instr_activity"/>
    <s v="envrnmntl_objctv"/>
    <x v="1"/>
    <s v="1. Concluído"/>
    <m/>
    <s v=""/>
    <s v=""/>
    <s v=""/>
    <d v="2024-10-28T00:00:00"/>
    <m/>
    <x v="3"/>
  </r>
  <r>
    <x v="0"/>
    <s v="Pilar III"/>
    <x v="1"/>
    <s v="lt007_instr_activity"/>
    <s v="typ_actvty"/>
    <x v="1"/>
    <s v="1. Concluído"/>
    <m/>
    <s v=""/>
    <s v=""/>
    <s v=""/>
    <d v="2024-10-28T00:00:00"/>
    <m/>
    <x v="3"/>
  </r>
  <r>
    <x v="0"/>
    <s v="Pilar III"/>
    <x v="1"/>
    <s v="lt002_instrument"/>
    <s v="lns_clltrlzd_clssfctn"/>
    <x v="1"/>
    <s v="1. Concluído"/>
    <m/>
    <s v=""/>
    <s v=""/>
    <s v=""/>
    <m/>
    <m/>
    <x v="3"/>
  </r>
  <r>
    <x v="0"/>
    <s v="Pilar III"/>
    <x v="1"/>
    <s v="lt002_instrument"/>
    <s v="mthd_usd_instrmnt_scp_1"/>
    <x v="7"/>
    <s v="3. Pendente de outros desenvolvimentos"/>
    <m/>
    <s v=""/>
    <s v=""/>
    <s v=""/>
    <d v="2024-10-28T00:00:00"/>
    <m/>
    <x v="3"/>
  </r>
  <r>
    <x v="0"/>
    <s v="Pilar III"/>
    <x v="1"/>
    <s v="lt002_instrument"/>
    <s v="mthd_usd_instrmnt_scp_2"/>
    <x v="7"/>
    <s v="3. Pendente de outros desenvolvimentos"/>
    <m/>
    <s v=""/>
    <s v=""/>
    <s v=""/>
    <d v="2024-10-28T00:00:00"/>
    <m/>
    <x v="3"/>
  </r>
  <r>
    <x v="0"/>
    <s v="Pilar III"/>
    <x v="1"/>
    <s v="lt002_instrument"/>
    <s v="mthd_usd_instrmnt_scp_3"/>
    <x v="7"/>
    <s v="3. Pendente de outros desenvolvimentos"/>
    <m/>
    <s v=""/>
    <s v=""/>
    <s v=""/>
    <d v="2024-10-28T00:00:00"/>
    <m/>
    <x v="3"/>
  </r>
  <r>
    <x v="0"/>
    <s v="Pilar III"/>
    <x v="1"/>
    <s v="lt002_instrument"/>
    <s v="sstnbl_ctgry_txnmy"/>
    <x v="1"/>
    <s v="1. Concluído"/>
    <s v="Campo eliminado na versão de Dez24"/>
    <s v=""/>
    <s v=""/>
    <s v=""/>
    <d v="2024-10-28T00:00:00"/>
    <m/>
    <x v="3"/>
  </r>
  <r>
    <x v="0"/>
    <s v="Pilar III"/>
    <x v="1"/>
    <s v="lt827_mthd_usd_instrmnt"/>
    <s v="ambito"/>
    <x v="1"/>
    <s v="1. Concluído"/>
    <m/>
    <s v=""/>
    <s v=""/>
    <s v=""/>
    <d v="2024-10-28T00:00:00"/>
    <m/>
    <x v="3"/>
  </r>
  <r>
    <x v="0"/>
    <s v="Pilar III"/>
    <x v="1"/>
    <s v="lt827_mthd_usd_instrmnt"/>
    <s v="ref_date"/>
    <x v="1"/>
    <s v="1. Concluído"/>
    <m/>
    <s v=""/>
    <s v=""/>
    <s v=""/>
    <d v="2024-10-28T00:00:00"/>
    <m/>
    <x v="3"/>
  </r>
  <r>
    <x v="0"/>
    <s v="Pilar III"/>
    <x v="1"/>
    <s v="lt827_mthd_usd_instrmnt"/>
    <s v="ordem"/>
    <x v="1"/>
    <s v="1. Concluído"/>
    <m/>
    <s v=""/>
    <s v=""/>
    <s v=""/>
    <d v="2024-10-28T00:00:00"/>
    <m/>
    <x v="3"/>
  </r>
  <r>
    <x v="0"/>
    <s v="Pilar III"/>
    <x v="1"/>
    <s v="lt827_mthd_usd_instrmnt"/>
    <s v="tabela"/>
    <x v="1"/>
    <s v="1. Concluído"/>
    <m/>
    <s v=""/>
    <s v=""/>
    <s v=""/>
    <d v="2024-10-28T00:00:00"/>
    <m/>
    <x v="3"/>
  </r>
  <r>
    <x v="0"/>
    <s v="Pilar III"/>
    <x v="1"/>
    <s v="lt827_mthd_usd_instrmnt"/>
    <s v="origem_scp1_emss"/>
    <x v="1"/>
    <s v="1. Concluído"/>
    <m/>
    <s v=""/>
    <s v=""/>
    <s v=""/>
    <d v="2024-10-28T00:00:00"/>
    <m/>
    <x v="3"/>
  </r>
  <r>
    <x v="0"/>
    <s v="Pilar III"/>
    <x v="1"/>
    <s v="lt827_mthd_usd_instrmnt"/>
    <s v="origem_scp2_emss"/>
    <x v="1"/>
    <s v="1. Concluído"/>
    <m/>
    <s v=""/>
    <s v=""/>
    <s v=""/>
    <d v="2024-10-28T00:00:00"/>
    <m/>
    <x v="3"/>
  </r>
  <r>
    <x v="0"/>
    <s v="Pilar III"/>
    <x v="1"/>
    <s v="lt827_mthd_usd_instrmnt"/>
    <s v="origem_scp3_emss"/>
    <x v="1"/>
    <s v="1. Concluído"/>
    <m/>
    <s v=""/>
    <s v=""/>
    <s v=""/>
    <d v="2024-10-28T00:00:00"/>
    <m/>
    <x v="3"/>
  </r>
  <r>
    <x v="0"/>
    <s v="Pilar III"/>
    <x v="1"/>
    <s v="lt827_mthd_usd_instrmnt"/>
    <s v="mthd_usd_instrmnt_scp_1"/>
    <x v="1"/>
    <s v="1. Concluído"/>
    <m/>
    <s v=""/>
    <s v=""/>
    <s v=""/>
    <d v="2024-10-28T00:00:00"/>
    <m/>
    <x v="3"/>
  </r>
  <r>
    <x v="0"/>
    <s v="Pilar III"/>
    <x v="1"/>
    <s v="lt827_mthd_usd_instrmnt"/>
    <s v="mthd_usd_instrmnt_scp_2"/>
    <x v="1"/>
    <s v="1. Concluído"/>
    <m/>
    <s v=""/>
    <s v=""/>
    <s v=""/>
    <d v="2024-10-28T00:00:00"/>
    <m/>
    <x v="3"/>
  </r>
  <r>
    <x v="0"/>
    <s v="Pilar III"/>
    <x v="1"/>
    <s v="lt827_mthd_usd_instrmnt"/>
    <s v="mthd_usd_instrmnt_scp_3"/>
    <x v="1"/>
    <s v="1. Concluído"/>
    <m/>
    <s v=""/>
    <s v=""/>
    <s v=""/>
    <d v="2024-10-28T00:00:00"/>
    <m/>
    <x v="3"/>
  </r>
  <r>
    <x v="0"/>
    <s v="Pilar III"/>
    <x v="1"/>
    <s v="lt827_mthd_usd_instrmnt"/>
    <s v="purpose_code"/>
    <x v="1"/>
    <s v="1. Concluído"/>
    <m/>
    <s v=""/>
    <s v=""/>
    <s v=""/>
    <m/>
    <m/>
    <x v="3"/>
  </r>
  <r>
    <x v="0"/>
    <s v="Pilar III"/>
    <x v="1"/>
    <s v="lt827_mthd_usd_instrmnt"/>
    <s v="flg_fin"/>
    <x v="1"/>
    <s v="1. Concluído"/>
    <m/>
    <s v=""/>
    <s v=""/>
    <s v=""/>
    <m/>
    <m/>
    <x v="3"/>
  </r>
  <r>
    <x v="0"/>
    <s v="Pilar III"/>
    <x v="1"/>
    <s v="lt827_mthd_usd_instrmnt"/>
    <s v="flg_exec"/>
    <x v="1"/>
    <s v="1. Concluído"/>
    <m/>
    <s v=""/>
    <s v=""/>
    <s v=""/>
    <m/>
    <m/>
    <x v="3"/>
  </r>
  <r>
    <x v="0"/>
    <s v="Pilar III"/>
    <x v="1"/>
    <s v="lt827_mthd_usd_instrmnt"/>
    <s v="flg_col"/>
    <x v="1"/>
    <s v="1. Concluído"/>
    <m/>
    <s v=""/>
    <s v=""/>
    <s v=""/>
    <m/>
    <m/>
    <x v="3"/>
  </r>
  <r>
    <x v="0"/>
    <s v="Pilar III"/>
    <x v="1"/>
    <s v="lt827_mthd_usd_instrmnt"/>
    <s v="flg_pro"/>
    <x v="1"/>
    <s v="1. Concluído"/>
    <m/>
    <s v=""/>
    <s v=""/>
    <s v=""/>
    <m/>
    <m/>
    <x v="3"/>
  </r>
  <r>
    <x v="0"/>
    <s v="Pilar III"/>
    <x v="1"/>
    <s v="lt826_esg_sbsctr"/>
    <s v="ambito"/>
    <x v="1"/>
    <s v="1. Concluído"/>
    <m/>
    <s v=""/>
    <s v=""/>
    <s v=""/>
    <m/>
    <m/>
    <x v="3"/>
  </r>
  <r>
    <x v="0"/>
    <s v="Pilar III"/>
    <x v="1"/>
    <s v="lt826_esg_sbsctr"/>
    <s v="ref_date"/>
    <x v="1"/>
    <s v="1. Concluído"/>
    <m/>
    <s v=""/>
    <s v=""/>
    <s v=""/>
    <m/>
    <m/>
    <x v="3"/>
  </r>
  <r>
    <x v="0"/>
    <s v="Pilar III"/>
    <x v="1"/>
    <s v="lt826_esg_sbsctr"/>
    <s v="ordem"/>
    <x v="1"/>
    <s v="1. Concluído"/>
    <m/>
    <s v=""/>
    <s v=""/>
    <s v=""/>
    <m/>
    <m/>
    <x v="3"/>
  </r>
  <r>
    <x v="0"/>
    <s v="Pilar III"/>
    <x v="1"/>
    <s v="lt826_esg_sbsctr"/>
    <s v="nace_code"/>
    <x v="1"/>
    <s v="1. Concluído"/>
    <m/>
    <s v=""/>
    <s v=""/>
    <s v=""/>
    <m/>
    <m/>
    <x v="3"/>
  </r>
  <r>
    <x v="0"/>
    <s v="Pilar III"/>
    <x v="1"/>
    <s v="lt826_esg_sbsctr"/>
    <s v="contraparte"/>
    <x v="1"/>
    <s v="1. Concluído"/>
    <m/>
    <s v=""/>
    <s v=""/>
    <s v=""/>
    <m/>
    <m/>
    <x v="3"/>
  </r>
  <r>
    <x v="0"/>
    <s v="Pilar III"/>
    <x v="1"/>
    <s v="lt826_esg_sbsctr"/>
    <s v="cnatureza_juri"/>
    <x v="1"/>
    <s v="1. Concluído"/>
    <m/>
    <s v=""/>
    <s v=""/>
    <s v=""/>
    <m/>
    <m/>
    <x v="3"/>
  </r>
  <r>
    <x v="0"/>
    <s v="Pilar III"/>
    <x v="1"/>
    <s v="lt826_esg_sbsctr"/>
    <s v="idcomb"/>
    <x v="1"/>
    <s v="1. Concluído"/>
    <m/>
    <s v=""/>
    <s v=""/>
    <s v=""/>
    <m/>
    <m/>
    <x v="3"/>
  </r>
  <r>
    <x v="0"/>
    <s v="Pilar III"/>
    <x v="1"/>
    <s v="lt826_esg_sbsctr"/>
    <s v="esg_sbsctr"/>
    <x v="1"/>
    <s v="1. Concluído"/>
    <m/>
    <s v=""/>
    <s v=""/>
    <s v=""/>
    <m/>
    <m/>
    <x v="3"/>
  </r>
  <r>
    <x v="0"/>
    <s v="Pilar III"/>
    <x v="1"/>
    <s v="lt826_esg_sbsctr"/>
    <s v="descrição"/>
    <x v="1"/>
    <s v="1. Concluído"/>
    <m/>
    <s v=""/>
    <s v=""/>
    <s v=""/>
    <m/>
    <m/>
    <x v="3"/>
  </r>
  <r>
    <x v="0"/>
    <s v="Pilar III"/>
    <x v="1"/>
    <s v="lt002_instrument"/>
    <s v="dt_rfrnc"/>
    <x v="1"/>
    <s v="1. Concluído"/>
    <s v="26/07/2024: Campo não espelhado na documentação da Deloitte (LT ESTR)"/>
    <s v=""/>
    <s v=""/>
    <s v=""/>
    <m/>
    <m/>
    <x v="3"/>
  </r>
  <r>
    <x v="0"/>
    <s v="Pilar III"/>
    <x v="1"/>
    <s v="lt002_instrument"/>
    <s v="instrmnt_id"/>
    <x v="1"/>
    <s v="1. Concluído"/>
    <s v="26/07/2024: Campo não espelhado na documentação da Deloitte (LT ESTR)"/>
    <s v=""/>
    <s v=""/>
    <s v=""/>
    <m/>
    <m/>
    <x v="3"/>
  </r>
  <r>
    <x v="0"/>
    <s v="Pilar III"/>
    <x v="1"/>
    <s v="lt002_instrument"/>
    <s v="dt_incptn"/>
    <x v="1"/>
    <s v="1. Concluído"/>
    <s v="26/07/2024: Campo não espelhado na documentação da Deloitte (LT ESTR)"/>
    <s v=""/>
    <s v=""/>
    <s v=""/>
    <m/>
    <m/>
    <x v="3"/>
  </r>
  <r>
    <x v="0"/>
    <s v="Pilar III"/>
    <x v="1"/>
    <s v="lt002_instrument"/>
    <s v="dflt_stts_instrmnt"/>
    <x v="1"/>
    <s v="1. Concluído"/>
    <s v="26/07/2024: Campo não espelhado na documentação da Deloitte (LT ESTR)"/>
    <s v=""/>
    <s v=""/>
    <s v=""/>
    <m/>
    <m/>
    <x v="3"/>
  </r>
  <r>
    <x v="0"/>
    <s v="Pilar III"/>
    <x v="1"/>
    <s v="lt002_instrument"/>
    <s v="imprmnt_stts"/>
    <x v="1"/>
    <s v="1. Concluído"/>
    <s v="26/07/2024: Campo não espelhado na documentação da Deloitte (LT ESTR)"/>
    <s v=""/>
    <s v=""/>
    <s v=""/>
    <m/>
    <m/>
    <x v="3"/>
  </r>
  <r>
    <x v="0"/>
    <s v="Pilar III"/>
    <x v="1"/>
    <s v="lt002_instrument"/>
    <s v="prfrmng_stts"/>
    <x v="1"/>
    <s v="1. Concluído"/>
    <s v="26/07/2024: Campo não espelhado na documentação da Deloitte (LT ESTR)"/>
    <s v=""/>
    <s v=""/>
    <s v=""/>
    <m/>
    <m/>
    <x v="3"/>
  </r>
  <r>
    <x v="0"/>
    <s v="Pilar III"/>
    <x v="1"/>
    <s v="lt002_instrument"/>
    <s v="prjct_fnnc_ln"/>
    <x v="1"/>
    <s v="1. Concluído"/>
    <s v="26/07/2024: Campo não espelhado na documentação da Deloitte (LT ESTR)"/>
    <s v=""/>
    <s v=""/>
    <s v=""/>
    <m/>
    <m/>
    <x v="3"/>
  </r>
  <r>
    <x v="0"/>
    <s v="Pilar III"/>
    <x v="1"/>
    <s v="lt002_instrument"/>
    <s v="typ_instrmnt"/>
    <x v="1"/>
    <s v="1. Concluído"/>
    <s v="26/07/2024: Campo não espelhado na documentação da Deloitte (LT ESTR)"/>
    <s v=""/>
    <s v=""/>
    <s v=""/>
    <m/>
    <m/>
    <x v="3"/>
  </r>
  <r>
    <x v="0"/>
    <s v="Pilar III"/>
    <x v="1"/>
    <s v="lt002_instrument"/>
    <s v="grss_crryng_amnt_instrmnt"/>
    <x v="1"/>
    <s v="1. Concluído"/>
    <s v="26/07/2024: Campo não espelhado na documentação da Deloitte (LT ESTR)"/>
    <s v=""/>
    <s v=""/>
    <s v=""/>
    <m/>
    <m/>
    <x v="3"/>
  </r>
  <r>
    <x v="0"/>
    <s v="Pilar III"/>
    <x v="1"/>
    <s v="lt002_instrument"/>
    <s v="accmltd_chngs_fv_cr_instrmnt"/>
    <x v="1"/>
    <s v="1. Concluído"/>
    <s v="26/07/2024: Campo não espelhado na documentação da Deloitte (LT ESTR)"/>
    <s v=""/>
    <s v=""/>
    <s v=""/>
    <m/>
    <m/>
    <x v="3"/>
  </r>
  <r>
    <x v="0"/>
    <s v="Pilar III"/>
    <x v="1"/>
    <s v="lt002_instrument"/>
    <s v="accntng_clssfctn"/>
    <x v="1"/>
    <s v="1. Concluído"/>
    <s v="26/07/2024: Campo não espelhado na documentação da Deloitte (LT ESTR)"/>
    <s v=""/>
    <s v=""/>
    <s v=""/>
    <m/>
    <m/>
    <x v="3"/>
  </r>
  <r>
    <x v="0"/>
    <s v="Pilar III"/>
    <x v="1"/>
    <s v="lt002_instrument"/>
    <s v="dt_lgl_fnl_mtrty"/>
    <x v="1"/>
    <s v="1. Concluído"/>
    <s v="26/07/2024: Campo não espelhado na documentação da Deloitte (LT ESTR)"/>
    <s v=""/>
    <s v=""/>
    <s v=""/>
    <m/>
    <m/>
    <x v="3"/>
  </r>
  <r>
    <x v="0"/>
    <s v="Pilar III"/>
    <x v="1"/>
    <s v="lt002_instrument"/>
    <s v="accmltd_imprmnt_instrmnt"/>
    <x v="1"/>
    <s v="1. Concluído"/>
    <s v="26/07/2024: Campo não espelhado na documentação da Deloitte (LT ESTR)"/>
    <s v=""/>
    <s v=""/>
    <s v=""/>
    <m/>
    <m/>
    <x v="3"/>
  </r>
  <r>
    <x v="0"/>
    <s v="Pilar III"/>
    <x v="1"/>
    <s v="lt002_instrument"/>
    <s v="issr_cntry"/>
    <x v="1"/>
    <s v="1. Concluído"/>
    <s v="26/07/2024: Campo não espelhado na documentação da Deloitte (LT ESTR)"/>
    <s v=""/>
    <s v=""/>
    <s v=""/>
    <m/>
    <m/>
    <x v="3"/>
  </r>
  <r>
    <x v="0"/>
    <s v="Pilar III"/>
    <x v="1"/>
    <s v="lt002_instrument"/>
    <s v="issr_nace_sctr"/>
    <x v="1"/>
    <s v="1. Concluído"/>
    <s v="26/07/2024: Campo não espelhado na documentação da Deloitte (LT ESTR)"/>
    <s v=""/>
    <s v=""/>
    <s v=""/>
    <m/>
    <m/>
    <x v="3"/>
  </r>
  <r>
    <x v="0"/>
    <s v="Pilar III"/>
    <x v="1"/>
    <s v="lt002_instrument"/>
    <s v="prmry_asst_clssf"/>
    <x v="1"/>
    <s v="1. Concluído"/>
    <s v="26/07/2024: Campo não espelhado na documentação da Deloitte (LT ESTR)"/>
    <s v=""/>
    <s v=""/>
    <s v=""/>
    <m/>
    <m/>
    <x v="3"/>
  </r>
  <r>
    <x v="0"/>
    <s v="Pilar III"/>
    <x v="1"/>
    <s v="lt002_instrument"/>
    <s v="subportfolio_id"/>
    <x v="1"/>
    <s v="1. Concluído"/>
    <s v="26/07/2024: Campo não espelhado na documentação da Deloitte (LT ESTR)"/>
    <s v=""/>
    <s v=""/>
    <s v=""/>
    <m/>
    <m/>
    <x v="3"/>
  </r>
  <r>
    <x v="0"/>
    <s v="Pilar III"/>
    <x v="1"/>
    <s v="lt002_instrument"/>
    <s v="cod_soc"/>
    <x v="1"/>
    <s v="1. Concluído"/>
    <s v="26/07/2024: Campo não espelhado na documentação da Deloitte (LT ESTR)"/>
    <s v=""/>
    <s v=""/>
    <s v=""/>
    <m/>
    <m/>
    <x v="3"/>
  </r>
  <r>
    <x v="0"/>
    <s v="Pilar III"/>
    <x v="1"/>
    <s v="lt002_instrument"/>
    <s v="lcl_instmrnt_id"/>
    <x v="1"/>
    <s v="1. Concluído"/>
    <s v="26/07/2024: Campo não espelhado na documentação da Deloitte (LT ESTR)"/>
    <s v=""/>
    <s v=""/>
    <s v=""/>
    <m/>
    <m/>
    <x v="3"/>
  </r>
  <r>
    <x v="0"/>
    <s v="Pilar III"/>
    <x v="1"/>
    <s v="lt007_instr_activity"/>
    <s v="sstnbl_indctr"/>
    <x v="1"/>
    <s v="1. Concluído"/>
    <s v="Pendente de feedback de CDO - Criação de Nova tabela"/>
    <s v=""/>
    <s v=""/>
    <s v=""/>
    <d v="2024-10-28T00:00:00"/>
    <m/>
    <x v="3"/>
  </r>
  <r>
    <x v="0"/>
    <s v="Pilar III"/>
    <x v="1"/>
    <s v="lt007_instr_activity"/>
    <s v="COD_SOC"/>
    <x v="5"/>
    <m/>
    <s v="Package 4"/>
    <s v=""/>
    <s v=""/>
    <s v=""/>
    <m/>
    <m/>
    <x v="2"/>
  </r>
  <r>
    <x v="0"/>
    <s v="Pilar III"/>
    <x v="1"/>
    <s v="lt007_instr_activity"/>
    <s v="DT_RFRNC"/>
    <x v="5"/>
    <m/>
    <s v="Package 3"/>
    <s v=""/>
    <s v=""/>
    <s v=""/>
    <m/>
    <m/>
    <x v="2"/>
  </r>
  <r>
    <x v="0"/>
    <s v="Pilar III"/>
    <x v="1"/>
    <s v="lt007_instr_activity"/>
    <s v="INSTRMNT_ID"/>
    <x v="5"/>
    <m/>
    <s v="Package 4"/>
    <s v=""/>
    <s v=""/>
    <s v=""/>
    <m/>
    <m/>
    <x v="2"/>
  </r>
  <r>
    <x v="0"/>
    <s v="Pilar III"/>
    <x v="1"/>
    <s v="lt007_instr_activity"/>
    <s v="PRCNTG_ACTVTY"/>
    <x v="5"/>
    <m/>
    <s v="Package 3"/>
    <s v=""/>
    <s v=""/>
    <s v=""/>
    <m/>
    <m/>
    <x v="2"/>
  </r>
  <r>
    <x v="0"/>
    <s v="Pilar III"/>
    <x v="1"/>
    <s v="lt007_instr_activity"/>
    <s v="FLG_SBSTNTL_CNTRBTN"/>
    <x v="5"/>
    <m/>
    <s v="Package 5"/>
    <s v=""/>
    <s v=""/>
    <s v=""/>
    <m/>
    <m/>
    <x v="2"/>
  </r>
  <r>
    <x v="0"/>
    <s v="Pilar III"/>
    <x v="1"/>
    <s v="lt007_instr_activity"/>
    <s v="FLG_DNSH_CMPLNC"/>
    <x v="5"/>
    <m/>
    <s v="Package 2"/>
    <s v=""/>
    <s v=""/>
    <s v=""/>
    <m/>
    <m/>
    <x v="2"/>
  </r>
  <r>
    <x v="0"/>
    <s v="Pilar III"/>
    <x v="1"/>
    <s v="lt007_instr_activity"/>
    <s v="DNSH_DTL"/>
    <x v="5"/>
    <m/>
    <s v="Package 2"/>
    <s v=""/>
    <s v=""/>
    <s v=""/>
    <m/>
    <m/>
    <x v="2"/>
  </r>
  <r>
    <x v="0"/>
    <s v="Pilar III"/>
    <x v="1"/>
    <s v="lt007_instr_activity"/>
    <s v="sstnbl_ctgry"/>
    <x v="4"/>
    <s v="4. Validação EF"/>
    <s v="Pendente de feedback de CDO - Criação de Nova tabela"/>
    <s v=""/>
    <s v=""/>
    <s v=""/>
    <d v="2024-10-28T00:00:00"/>
    <m/>
    <x v="3"/>
  </r>
  <r>
    <x v="0"/>
    <s v="Pilar III"/>
    <x v="1"/>
    <s v="lt002_instrument"/>
    <s v="grss_intrst_incm"/>
    <x v="8"/>
    <s v="2.1 Em Teste"/>
    <s v="26/07/2024: Campo não espelhado na documentação da Deloitte (LT ESTR)"/>
    <s v=""/>
    <s v=""/>
    <s v=""/>
    <d v="2024-10-30T00:00:00"/>
    <m/>
    <x v="3"/>
  </r>
  <r>
    <x v="0"/>
    <s v="Pilar III"/>
    <x v="1"/>
    <s v="lt002_instrument"/>
    <s v="grss_cmmssn_incm"/>
    <x v="8"/>
    <s v="2.1 Em Teste"/>
    <s v="26/07/2024: Campo não espelhado na documentação da Deloitte (LT ESTR)"/>
    <s v=""/>
    <s v=""/>
    <s v=""/>
    <d v="2024-10-30T00:00:00"/>
    <m/>
    <x v="3"/>
  </r>
  <r>
    <x v="0"/>
    <s v="Pilar III"/>
    <x v="1"/>
    <s v="lt002_instrument"/>
    <s v="grss_cmmssn_incm_off_blnc"/>
    <x v="8"/>
    <s v="2.1 Em Teste"/>
    <s v="26/07/2024: Campo não espelhado na documentação da Deloitte (LT ESTR)"/>
    <s v=""/>
    <s v=""/>
    <s v=""/>
    <d v="2024-10-30T00:00:00"/>
    <m/>
    <x v="3"/>
  </r>
  <r>
    <x v="0"/>
    <s v="Pilar III"/>
    <x v="1"/>
    <s v="lt002_instrument"/>
    <s v="idcmb"/>
    <x v="1"/>
    <s v="1. Concluído"/>
    <s v="26/07/2024: Campo não espelhado na documentação da Deloitte (LT ESTR)"/>
    <s v=""/>
    <s v=""/>
    <s v=""/>
    <m/>
    <m/>
    <x v="3"/>
  </r>
  <r>
    <x v="0"/>
    <s v="Pilar III"/>
    <x v="1"/>
    <s v="lt002_instrument"/>
    <s v="FRBRNC_STTS_INSTRMNT"/>
    <x v="5"/>
    <m/>
    <s v="Package 5"/>
    <s v=""/>
    <s v=""/>
    <s v=""/>
    <m/>
    <m/>
    <x v="2"/>
  </r>
  <r>
    <x v="0"/>
    <s v="Pilar III"/>
    <x v="1"/>
    <s v="lt002_instrument"/>
    <s v="INTRNL_SGMNT"/>
    <x v="5"/>
    <m/>
    <s v="Package 3"/>
    <s v=""/>
    <s v=""/>
    <s v=""/>
    <m/>
    <m/>
    <x v="2"/>
  </r>
  <r>
    <x v="0"/>
    <s v="Pilar III"/>
    <x v="1"/>
    <s v="lt002_instrument"/>
    <s v="DT_ORGNL_MTRTY"/>
    <x v="5"/>
    <m/>
    <s v="Package 3"/>
    <s v=""/>
    <s v=""/>
    <s v=""/>
    <m/>
    <m/>
    <x v="2"/>
  </r>
  <r>
    <x v="0"/>
    <s v="Pilar III"/>
    <x v="1"/>
    <s v="lt002_instrument"/>
    <s v="EAD"/>
    <x v="5"/>
    <m/>
    <s v="Package 4"/>
    <s v=""/>
    <s v=""/>
    <s v=""/>
    <m/>
    <m/>
    <x v="2"/>
  </r>
  <r>
    <x v="0"/>
    <s v="Pilar III"/>
    <x v="1"/>
    <s v="lt002_instrument"/>
    <s v="OFF_BLNC_SHT_AMNT_INSTRMNT"/>
    <x v="5"/>
    <m/>
    <s v="Package 4"/>
    <s v=""/>
    <s v=""/>
    <s v=""/>
    <m/>
    <m/>
    <x v="2"/>
  </r>
  <r>
    <x v="0"/>
    <s v="Pilar III"/>
    <x v="1"/>
    <s v="lt002_instrument"/>
    <s v="RWA"/>
    <x v="5"/>
    <m/>
    <s v="Package 4"/>
    <s v=""/>
    <s v=""/>
    <s v=""/>
    <m/>
    <m/>
    <x v="2"/>
  </r>
  <r>
    <x v="0"/>
    <s v="Pilar III"/>
    <x v="1"/>
    <s v="lt002_instrument"/>
    <s v="LTV"/>
    <x v="5"/>
    <m/>
    <s v="Package 3"/>
    <s v=""/>
    <s v=""/>
    <s v=""/>
    <m/>
    <m/>
    <x v="2"/>
  </r>
  <r>
    <x v="0"/>
    <s v="Pilar III"/>
    <x v="1"/>
    <s v="lt002_instrument"/>
    <s v="LTV_INCPTN"/>
    <x v="5"/>
    <m/>
    <s v="Package 3"/>
    <s v=""/>
    <s v=""/>
    <s v=""/>
    <m/>
    <m/>
    <x v="2"/>
  </r>
  <r>
    <x v="0"/>
    <s v="Pilar III"/>
    <x v="1"/>
    <s v="lt002_instrument"/>
    <s v="EIR"/>
    <x v="5"/>
    <m/>
    <s v="Package 4"/>
    <s v=""/>
    <s v=""/>
    <s v=""/>
    <m/>
    <m/>
    <x v="2"/>
  </r>
  <r>
    <x v="0"/>
    <s v="Pilar III"/>
    <x v="1"/>
    <s v="lt002_instrument"/>
    <s v="EIR_INCPTN"/>
    <x v="5"/>
    <m/>
    <s v="Package 3"/>
    <s v=""/>
    <s v=""/>
    <s v=""/>
    <m/>
    <m/>
    <x v="2"/>
  </r>
  <r>
    <x v="0"/>
    <s v="Pilar III"/>
    <x v="1"/>
    <s v="lt002_instrument"/>
    <s v="INTRNL_SGMNT_CAT_MSTA"/>
    <x v="5"/>
    <m/>
    <s v="Package 3"/>
    <s v=""/>
    <s v=""/>
    <s v=""/>
    <m/>
    <m/>
    <x v="2"/>
  </r>
  <r>
    <x v="0"/>
    <s v="Pilar III"/>
    <x v="1"/>
    <s v="lt002_instrument"/>
    <s v="INTRNL_SGMNT_CATGSUB"/>
    <x v="5"/>
    <m/>
    <s v="Package 3"/>
    <s v=""/>
    <s v=""/>
    <s v=""/>
    <m/>
    <m/>
    <x v="2"/>
  </r>
  <r>
    <x v="0"/>
    <s v="Pilar III"/>
    <x v="1"/>
    <s v="lt002_instrument"/>
    <s v="NW_BSNSS"/>
    <x v="5"/>
    <m/>
    <s v="Package 5"/>
    <s v=""/>
    <s v=""/>
    <s v=""/>
    <m/>
    <m/>
    <x v="2"/>
  </r>
  <r>
    <x v="0"/>
    <s v="Pilar III"/>
    <x v="1"/>
    <s v="lt002_instrument"/>
    <s v="CNCLLD_INSTRMNT_STTS"/>
    <x v="5"/>
    <m/>
    <s v="Package 5"/>
    <s v=""/>
    <s v=""/>
    <s v=""/>
    <m/>
    <m/>
    <x v="2"/>
  </r>
  <r>
    <x v="0"/>
    <s v="Pilar III"/>
    <x v="1"/>
    <s v="lt002_instrument"/>
    <s v="TYP_OFF_BLNC_PRDCT"/>
    <x v="5"/>
    <m/>
    <s v="Package 5 --&gt; Não está especificado no LT - não conseguimos testar"/>
    <s v=""/>
    <s v=""/>
    <s v=""/>
    <m/>
    <m/>
    <x v="2"/>
  </r>
  <r>
    <x v="0"/>
    <s v="Pilar III"/>
    <x v="1"/>
    <s v="lt002_instrument"/>
    <s v="FLG_MNMM_SFGRDS"/>
    <x v="5"/>
    <m/>
    <s v="Package 2"/>
    <s v=""/>
    <s v=""/>
    <s v=""/>
    <m/>
    <m/>
    <x v="2"/>
  </r>
  <r>
    <x v="0"/>
    <s v="Pilar III"/>
    <x v="1"/>
    <s v="lt003_entity"/>
    <s v="cntry"/>
    <x v="1"/>
    <s v="1. Concluído"/>
    <s v="26/07/2024: Campo não espelhado na documentação da Deloitte (LT ESTR)"/>
    <s v=""/>
    <s v=""/>
    <s v=""/>
    <m/>
    <m/>
    <x v="3"/>
  </r>
  <r>
    <x v="0"/>
    <s v="Pilar III"/>
    <x v="1"/>
    <s v="lt003_entity"/>
    <s v="dt_rfrnc"/>
    <x v="1"/>
    <s v="1. Concluído"/>
    <s v="26/07/2024: Campo não espelhado na documentação da Deloitte (LT ESTR)"/>
    <s v=""/>
    <s v=""/>
    <s v=""/>
    <m/>
    <m/>
    <x v="3"/>
  </r>
  <r>
    <x v="0"/>
    <s v="Pilar III"/>
    <x v="1"/>
    <s v="lt003_entity"/>
    <s v="entty_id"/>
    <x v="1"/>
    <s v="1. Concluído"/>
    <s v="26/07/2024: Campo não espelhado na documentação da Deloitte (LT ESTR)"/>
    <s v=""/>
    <s v=""/>
    <s v=""/>
    <m/>
    <m/>
    <x v="3"/>
  </r>
  <r>
    <x v="0"/>
    <s v="Pilar III"/>
    <x v="1"/>
    <s v="lt003_entity"/>
    <s v="lei"/>
    <x v="1"/>
    <s v="1. Concluído"/>
    <s v="26/07/2024: Campo não espelhado na documentação da Deloitte (LT ESTR)"/>
    <s v=""/>
    <s v=""/>
    <s v=""/>
    <m/>
    <m/>
    <x v="3"/>
  </r>
  <r>
    <x v="0"/>
    <s v="Pilar III"/>
    <x v="1"/>
    <s v="lt003_entity"/>
    <s v="ecnmc_actvty"/>
    <x v="1"/>
    <s v="1. Concluído"/>
    <s v="26/07/2024: Campo não espelhado na documentação da Deloitte (LT ESTR)"/>
    <s v=""/>
    <s v=""/>
    <s v=""/>
    <m/>
    <m/>
    <x v="3"/>
  </r>
  <r>
    <x v="0"/>
    <s v="Pilar III"/>
    <x v="1"/>
    <s v="lt003_entity"/>
    <s v="grp_eqty"/>
    <x v="1"/>
    <s v="1. Concluído"/>
    <s v="26/07/2024: Campo não espelhado na documentação da Deloitte (LT ESTR)"/>
    <s v=""/>
    <s v=""/>
    <s v=""/>
    <m/>
    <m/>
    <x v="3"/>
  </r>
  <r>
    <x v="0"/>
    <s v="Pilar III"/>
    <x v="1"/>
    <s v="lt003_entity"/>
    <s v="annl_trnvr_le"/>
    <x v="1"/>
    <s v="1. Concluído"/>
    <s v="26/07/2024: Campo não espelhado na documentação da Deloitte (LT ESTR)"/>
    <s v=""/>
    <s v=""/>
    <s v=""/>
    <m/>
    <m/>
    <x v="3"/>
  </r>
  <r>
    <x v="0"/>
    <s v="Pilar III"/>
    <x v="1"/>
    <s v="lt003_entity"/>
    <s v="eqty"/>
    <x v="1"/>
    <s v="1. Concluído"/>
    <s v="26/07/2024: Campo não espelhado na documentação da Deloitte (LT ESTR)"/>
    <s v=""/>
    <s v=""/>
    <s v=""/>
    <m/>
    <m/>
    <x v="3"/>
  </r>
  <r>
    <x v="0"/>
    <s v="Pilar III"/>
    <x v="1"/>
    <s v="lt003_entity"/>
    <s v="grp_ttl_dbt"/>
    <x v="1"/>
    <s v="1. Concluído"/>
    <s v="26/07/2024: Campo não espelhado na documentação da Deloitte (LT ESTR)"/>
    <s v=""/>
    <s v=""/>
    <s v=""/>
    <m/>
    <m/>
    <x v="3"/>
  </r>
  <r>
    <x v="0"/>
    <s v="Pilar III"/>
    <x v="1"/>
    <s v="lt003_entity"/>
    <s v="ttl_dbt"/>
    <x v="1"/>
    <s v="1. Concluído"/>
    <s v="26/07/2024: Campo não espelhado na documentação da Deloitte (LT ESTR)"/>
    <s v=""/>
    <s v=""/>
    <s v=""/>
    <m/>
    <m/>
    <x v="3"/>
  </r>
  <r>
    <x v="0"/>
    <s v="Pilar III"/>
    <x v="1"/>
    <s v="lt003_entity"/>
    <s v="cod_soc"/>
    <x v="1"/>
    <s v="1. Concluído"/>
    <s v="26/07/2024: Campo não espelhado na documentação da Deloitte (LT ESTR)"/>
    <s v=""/>
    <s v=""/>
    <s v=""/>
    <m/>
    <m/>
    <x v="3"/>
  </r>
  <r>
    <x v="0"/>
    <s v="Pilar III"/>
    <x v="1"/>
    <s v="lt003_entity"/>
    <s v="entty_nm"/>
    <x v="5"/>
    <m/>
    <s v="Package 3"/>
    <s v=""/>
    <s v=""/>
    <s v=""/>
    <m/>
    <m/>
    <x v="3"/>
  </r>
  <r>
    <x v="0"/>
    <s v="Pilar III"/>
    <x v="1"/>
    <s v="lt003_entity"/>
    <s v="ec_grp_id"/>
    <x v="5"/>
    <m/>
    <s v="Package 4"/>
    <s v=""/>
    <s v=""/>
    <s v=""/>
    <m/>
    <m/>
    <x v="2"/>
  </r>
  <r>
    <x v="0"/>
    <s v="Pilar III"/>
    <x v="1"/>
    <s v="lt003_entity"/>
    <s v="ec_grp_nm"/>
    <x v="5"/>
    <m/>
    <s v="Package 5"/>
    <s v=""/>
    <s v=""/>
    <s v=""/>
    <m/>
    <m/>
    <x v="2"/>
  </r>
  <r>
    <x v="0"/>
    <s v="Pilar III"/>
    <x v="1"/>
    <s v="lt003_entity"/>
    <s v="grp_ecnmc_actvty"/>
    <x v="5"/>
    <m/>
    <s v="Package 3"/>
    <s v=""/>
    <s v=""/>
    <s v=""/>
    <m/>
    <m/>
    <x v="2"/>
  </r>
  <r>
    <x v="0"/>
    <s v="Pilar III"/>
    <x v="1"/>
    <s v="lt003_entity"/>
    <s v="txnmy_elgbl_capex_w"/>
    <x v="1"/>
    <m/>
    <s v="Package 1"/>
    <s v=""/>
    <s v=""/>
    <s v=""/>
    <m/>
    <m/>
    <x v="2"/>
  </r>
  <r>
    <x v="0"/>
    <s v="Pilar III"/>
    <x v="1"/>
    <s v="lt003_entity"/>
    <s v="txnmy_elgbl_trnvr_w"/>
    <x v="1"/>
    <m/>
    <s v="Package 1"/>
    <s v=""/>
    <s v=""/>
    <s v=""/>
    <m/>
    <m/>
    <x v="3"/>
  </r>
  <r>
    <x v="0"/>
    <s v="Pilar III"/>
    <x v="1"/>
    <s v="lt003_entity"/>
    <s v="txnmy_elgbl_capex_p"/>
    <x v="1"/>
    <m/>
    <s v="Package 1"/>
    <s v=""/>
    <s v=""/>
    <s v=""/>
    <m/>
    <m/>
    <x v="3"/>
  </r>
  <r>
    <x v="0"/>
    <s v="Pilar III"/>
    <x v="1"/>
    <s v="lt003_entity"/>
    <s v="txnmy_elgbl_trnvr_p"/>
    <x v="1"/>
    <m/>
    <s v="Package 1"/>
    <s v=""/>
    <s v=""/>
    <s v=""/>
    <m/>
    <m/>
    <x v="3"/>
  </r>
  <r>
    <x v="0"/>
    <s v="Pilar III"/>
    <x v="1"/>
    <s v="lt003_entity"/>
    <s v="txnmy_elgbl_capex_b"/>
    <x v="1"/>
    <m/>
    <s v="Package 1"/>
    <s v=""/>
    <s v=""/>
    <s v=""/>
    <m/>
    <m/>
    <x v="3"/>
  </r>
  <r>
    <x v="0"/>
    <s v="Pilar III"/>
    <x v="1"/>
    <s v="lt003_entity"/>
    <s v="txnmy_elgbl_trnvr_b"/>
    <x v="1"/>
    <m/>
    <s v="Package 1"/>
    <s v=""/>
    <s v=""/>
    <s v=""/>
    <m/>
    <m/>
    <x v="3"/>
  </r>
  <r>
    <x v="0"/>
    <s v="Pilar III"/>
    <x v="1"/>
    <s v="lt003_entity"/>
    <s v="txnmy_elgbl_capex_ce"/>
    <x v="1"/>
    <m/>
    <s v="Package 1"/>
    <s v=""/>
    <s v=""/>
    <s v=""/>
    <m/>
    <m/>
    <x v="3"/>
  </r>
  <r>
    <x v="0"/>
    <s v="Pilar III"/>
    <x v="1"/>
    <s v="lt003_entity"/>
    <s v="txnmy_elgbl_trnvr_ce"/>
    <x v="1"/>
    <m/>
    <s v="Package 1"/>
    <s v=""/>
    <s v=""/>
    <s v=""/>
    <m/>
    <m/>
    <x v="3"/>
  </r>
  <r>
    <x v="0"/>
    <s v="Pilar III"/>
    <x v="1"/>
    <s v="lt003_entity"/>
    <s v="pure_capex_p"/>
    <x v="1"/>
    <m/>
    <s v="Package 1"/>
    <s v=""/>
    <s v=""/>
    <s v=""/>
    <m/>
    <m/>
    <x v="3"/>
  </r>
  <r>
    <x v="0"/>
    <s v="Pilar III"/>
    <x v="1"/>
    <s v="lt003_entity"/>
    <s v="pure_trnvr_p"/>
    <x v="1"/>
    <m/>
    <s v="Package 1"/>
    <s v=""/>
    <s v=""/>
    <s v=""/>
    <m/>
    <m/>
    <x v="3"/>
  </r>
  <r>
    <x v="0"/>
    <s v="Pilar III"/>
    <x v="1"/>
    <s v="lt003_entity"/>
    <s v="pure_capex_b"/>
    <x v="1"/>
    <m/>
    <s v="Package 1"/>
    <s v=""/>
    <s v=""/>
    <s v=""/>
    <m/>
    <m/>
    <x v="2"/>
  </r>
  <r>
    <x v="0"/>
    <s v="Pilar III"/>
    <x v="1"/>
    <s v="lt003_entity"/>
    <s v="pure_trnvr_b"/>
    <x v="1"/>
    <m/>
    <s v="Package 1"/>
    <s v=""/>
    <s v=""/>
    <s v=""/>
    <m/>
    <m/>
    <x v="2"/>
  </r>
  <r>
    <x v="0"/>
    <s v="Pilar III"/>
    <x v="1"/>
    <s v="lt003_entity"/>
    <s v="pure_capex_w"/>
    <x v="1"/>
    <m/>
    <s v="Package 1"/>
    <s v=""/>
    <s v=""/>
    <s v=""/>
    <m/>
    <m/>
    <x v="2"/>
  </r>
  <r>
    <x v="0"/>
    <s v="Pilar III"/>
    <x v="1"/>
    <s v="lt003_entity"/>
    <s v="pure_trnvr_w"/>
    <x v="1"/>
    <m/>
    <s v="Package 1"/>
    <s v=""/>
    <s v=""/>
    <s v=""/>
    <m/>
    <m/>
    <x v="3"/>
  </r>
  <r>
    <x v="0"/>
    <s v="Pilar III"/>
    <x v="1"/>
    <s v="lt003_entity"/>
    <s v="pure_capex_ce"/>
    <x v="1"/>
    <m/>
    <s v="Package 1"/>
    <s v=""/>
    <s v=""/>
    <s v=""/>
    <m/>
    <m/>
    <x v="3"/>
  </r>
  <r>
    <x v="0"/>
    <s v="Pilar III"/>
    <x v="1"/>
    <s v="lt003_entity"/>
    <s v="pure_trnvr_ce"/>
    <x v="1"/>
    <m/>
    <s v="Package 1"/>
    <s v=""/>
    <s v=""/>
    <s v=""/>
    <m/>
    <m/>
    <x v="3"/>
  </r>
  <r>
    <x v="0"/>
    <s v="Pilar III"/>
    <x v="1"/>
    <s v="lt003_entity"/>
    <s v="enblng_capex_w"/>
    <x v="1"/>
    <m/>
    <s v="Package 1"/>
    <s v=""/>
    <s v=""/>
    <s v=""/>
    <m/>
    <m/>
    <x v="3"/>
  </r>
  <r>
    <x v="0"/>
    <s v="Pilar III"/>
    <x v="1"/>
    <s v="lt003_entity"/>
    <s v="enblng_trnvr_w"/>
    <x v="1"/>
    <m/>
    <s v="Package 1"/>
    <s v=""/>
    <s v=""/>
    <s v=""/>
    <m/>
    <m/>
    <x v="3"/>
  </r>
  <r>
    <x v="0"/>
    <s v="Pilar III"/>
    <x v="1"/>
    <s v="lt003_entity"/>
    <s v="enblng_capex_ce"/>
    <x v="1"/>
    <m/>
    <s v="Package 1"/>
    <s v=""/>
    <s v=""/>
    <s v=""/>
    <m/>
    <m/>
    <x v="3"/>
  </r>
  <r>
    <x v="0"/>
    <s v="Pilar III"/>
    <x v="1"/>
    <s v="lt003_entity"/>
    <s v="enblng_trnvr_ce"/>
    <x v="1"/>
    <m/>
    <s v="Package 1"/>
    <s v=""/>
    <s v=""/>
    <s v=""/>
    <m/>
    <m/>
    <x v="3"/>
  </r>
  <r>
    <x v="0"/>
    <s v="Pilar III"/>
    <x v="1"/>
    <s v="lt004_protection"/>
    <s v="dt_rfrnc"/>
    <x v="1"/>
    <s v="1. Concluído"/>
    <s v="26/07/2024: Campo não espelhado na documentação da Deloitte (LT ESTR)"/>
    <s v=""/>
    <s v=""/>
    <s v=""/>
    <m/>
    <m/>
    <x v="3"/>
  </r>
  <r>
    <x v="0"/>
    <s v="Pilar III"/>
    <x v="1"/>
    <s v="lt004_protection"/>
    <s v="prtctn_id"/>
    <x v="1"/>
    <s v="1. Concluído"/>
    <s v="26/07/2024: Campo não espelhado na documentação da Deloitte (LT ESTR)"/>
    <s v=""/>
    <s v=""/>
    <s v=""/>
    <d v="2024-10-23T00:00:00"/>
    <m/>
    <x v="3"/>
  </r>
  <r>
    <x v="0"/>
    <s v="Pilar III"/>
    <x v="1"/>
    <s v="lt004_protection"/>
    <s v="rl_estt_clltrl_lctn"/>
    <x v="1"/>
    <s v="1. Concluído"/>
    <s v="26/07/2024: Campo não espelhado na documentação da Deloitte (LT ESTR)"/>
    <s v=""/>
    <s v=""/>
    <s v=""/>
    <d v="2024-10-23T00:00:00"/>
    <m/>
    <x v="3"/>
  </r>
  <r>
    <x v="0"/>
    <s v="Pilar III"/>
    <x v="1"/>
    <s v="lt004_protection"/>
    <s v="rl_estt_pst_cd"/>
    <x v="1"/>
    <s v="1. Concluído"/>
    <s v="26/07/2024: Campo não espelhado na documentação da Deloitte (LT ESTR)"/>
    <s v=""/>
    <s v=""/>
    <s v=""/>
    <d v="2024-10-23T00:00:00"/>
    <m/>
    <x v="3"/>
  </r>
  <r>
    <x v="0"/>
    <s v="Pilar III"/>
    <x v="1"/>
    <s v="lt004_protection"/>
    <s v="typ_prtctn"/>
    <x v="1"/>
    <s v="1. Concluído"/>
    <s v="Pendente de feedback de CDO - Reunião marcada para dia 28/10"/>
    <s v=""/>
    <s v=""/>
    <s v=""/>
    <d v="2024-10-30T00:00:00"/>
    <m/>
    <x v="3"/>
  </r>
  <r>
    <x v="0"/>
    <s v="Pilar III"/>
    <x v="1"/>
    <s v="lt004_protection"/>
    <s v="orgnl_prtctn_vl"/>
    <x v="1"/>
    <s v="5. Em Correção"/>
    <s v="26/07/2024: Campo não espelhado na documentação da Deloitte (LT ESTR)"/>
    <s v=""/>
    <s v=""/>
    <s v=""/>
    <d v="2024-10-30T00:00:00"/>
    <m/>
    <x v="3"/>
  </r>
  <r>
    <x v="0"/>
    <s v="Pilar III"/>
    <x v="1"/>
    <s v="lt004_protection"/>
    <s v="prtctn_vl"/>
    <x v="1"/>
    <s v="1. Concluído"/>
    <s v="26/07/2024: Campo não espelhado na documentação da Deloitte (LT ESTR)"/>
    <s v=""/>
    <s v=""/>
    <s v=""/>
    <d v="2024-10-23T00:00:00"/>
    <m/>
    <x v="3"/>
  </r>
  <r>
    <x v="0"/>
    <s v="Pilar III"/>
    <x v="1"/>
    <s v="lt004_protection"/>
    <s v="cod_soc"/>
    <x v="1"/>
    <s v="1. Concluído"/>
    <s v="26/07/2024: Campo não espelhado na documentação da Deloitte (LT ESTR)"/>
    <s v=""/>
    <s v=""/>
    <s v=""/>
    <m/>
    <m/>
    <x v="3"/>
  </r>
  <r>
    <x v="0"/>
    <s v="Pilar III"/>
    <x v="1"/>
    <s v="lt005_instr_ent"/>
    <s v="dt_rfrnc"/>
    <x v="1"/>
    <s v="1. Concluído"/>
    <s v="26/07/2024: Campo não espelhado na documentação da Deloitte (LT ESTR)"/>
    <s v=""/>
    <s v=""/>
    <s v=""/>
    <m/>
    <m/>
    <x v="3"/>
  </r>
  <r>
    <x v="0"/>
    <s v="Pilar III"/>
    <x v="1"/>
    <s v="lt005_instr_ent"/>
    <s v="entty_id"/>
    <x v="1"/>
    <s v="1. Concluído"/>
    <s v="26/07/2024: Campo não espelhado na documentação da Deloitte (LT ESTR)"/>
    <s v=""/>
    <s v=""/>
    <s v=""/>
    <m/>
    <m/>
    <x v="3"/>
  </r>
  <r>
    <x v="0"/>
    <s v="Pilar III"/>
    <x v="1"/>
    <s v="lt005_instr_ent"/>
    <s v="instrmnt_id"/>
    <x v="1"/>
    <s v="1. Concluído"/>
    <s v="26/07/2024: Campo não espelhado na documentação da Deloitte (LT ESTR)"/>
    <s v=""/>
    <s v=""/>
    <s v=""/>
    <m/>
    <m/>
    <x v="3"/>
  </r>
  <r>
    <x v="0"/>
    <s v="Pilar III"/>
    <x v="1"/>
    <s v="lt005_instr_ent"/>
    <s v="cod_soc"/>
    <x v="1"/>
    <s v="1. Concluído"/>
    <s v="26/07/2024: Campo não espelhado na documentação da Deloitte (LT ESTR)"/>
    <s v=""/>
    <s v=""/>
    <s v=""/>
    <m/>
    <m/>
    <x v="3"/>
  </r>
  <r>
    <x v="0"/>
    <s v="Pilar III"/>
    <x v="1"/>
    <s v="lt005_instr_ent"/>
    <s v="mn_entty_id"/>
    <x v="1"/>
    <s v="1. Concluído"/>
    <s v="26/07/2024: Campo não espelhado na documentação da Deloitte (LT ESTR)"/>
    <s v=""/>
    <s v=""/>
    <s v=""/>
    <m/>
    <m/>
    <x v="3"/>
  </r>
  <r>
    <x v="0"/>
    <s v="Pilar III"/>
    <x v="1"/>
    <s v="lt006_instr_prot"/>
    <s v="dt_rfrnc"/>
    <x v="1"/>
    <s v="1. Concluído"/>
    <s v="26/07/2024: Campo não espelhado na documentação da Deloitte (LT ESTR)"/>
    <s v=""/>
    <s v=""/>
    <s v=""/>
    <m/>
    <m/>
    <x v="3"/>
  </r>
  <r>
    <x v="0"/>
    <s v="Pilar III"/>
    <x v="1"/>
    <s v="lt006_instr_prot"/>
    <s v="instrmnt_id"/>
    <x v="1"/>
    <s v="1. Concluído"/>
    <s v="26/07/2024: Campo não espelhado na documentação da Deloitte (LT ESTR)"/>
    <s v=""/>
    <s v=""/>
    <s v=""/>
    <m/>
    <m/>
    <x v="3"/>
  </r>
  <r>
    <x v="0"/>
    <s v="Pilar III"/>
    <x v="1"/>
    <s v="lt006_instr_prot"/>
    <s v="prtctn_id"/>
    <x v="1"/>
    <s v="1. Concluído"/>
    <s v="26/07/2024: Campo não espelhado na documentação da Deloitte (LT ESTR)"/>
    <s v=""/>
    <s v=""/>
    <s v=""/>
    <m/>
    <m/>
    <x v="3"/>
  </r>
  <r>
    <x v="0"/>
    <s v="Pilar III"/>
    <x v="1"/>
    <s v="lt006_instr_prot"/>
    <s v="prtctn_allctd_vl"/>
    <x v="5"/>
    <s v="1. Concluído"/>
    <s v="26/07/2024: Campo não espelhado na documentação da Deloitte (LT ESTR)"/>
    <s v=""/>
    <s v=""/>
    <s v=""/>
    <m/>
    <m/>
    <x v="3"/>
  </r>
  <r>
    <x v="0"/>
    <s v="Pilar III"/>
    <x v="1"/>
    <s v="lt006_instr_prot"/>
    <s v="TYP_RLTN"/>
    <x v="5"/>
    <s v="1. Concluído"/>
    <s v="Package 4"/>
    <s v=""/>
    <s v=""/>
    <s v=""/>
    <m/>
    <m/>
    <x v="3"/>
  </r>
  <r>
    <x v="0"/>
    <s v="Pilar III"/>
    <x v="1"/>
    <s v="lt006_instr_prot"/>
    <s v="cod_soc"/>
    <x v="1"/>
    <s v="1. Concluído"/>
    <s v="26/07/2024: Campo não espelhado na documentação da Deloitte (LT ESTR)"/>
    <s v=""/>
    <s v=""/>
    <s v=""/>
    <m/>
    <m/>
    <x v="3"/>
  </r>
  <r>
    <x v="0"/>
    <s v="Pilar III"/>
    <x v="1"/>
    <s v="lt004_protection"/>
    <s v="flg_fin"/>
    <x v="2"/>
    <s v="1. Concluído"/>
    <s v="Tema de Loan Tape Estrutural"/>
    <s v=""/>
    <s v=""/>
    <s v=""/>
    <m/>
    <m/>
    <x v="3"/>
  </r>
  <r>
    <x v="0"/>
    <s v="Pilar III"/>
    <x v="1"/>
    <s v="lt004_protection"/>
    <s v="flg_exec"/>
    <x v="2"/>
    <s v="1. Concluído"/>
    <s v="Tema de Loan Tape Estrutural"/>
    <s v=""/>
    <s v=""/>
    <s v=""/>
    <m/>
    <m/>
    <x v="3"/>
  </r>
  <r>
    <x v="0"/>
    <s v="Pilar III"/>
    <x v="1"/>
    <s v="lt004_protection"/>
    <s v="RL_ESTT_ADDRSS"/>
    <x v="5"/>
    <m/>
    <s v="Package 3"/>
    <s v=""/>
    <s v=""/>
    <s v=""/>
    <m/>
    <m/>
    <x v="2"/>
  </r>
  <r>
    <x v="0"/>
    <s v="Pilar III"/>
    <x v="1"/>
    <s v="lt004_protection"/>
    <s v="RL_ESTT_CLLTRL_LCTN_INT"/>
    <x v="5"/>
    <m/>
    <s v="Package 3"/>
    <s v=""/>
    <s v=""/>
    <s v=""/>
    <m/>
    <m/>
    <x v="2"/>
  </r>
  <r>
    <x v="0"/>
    <s v="Pilar III"/>
    <x v="1"/>
    <s v="lt004_protection"/>
    <s v="RL_ESTT_CTY"/>
    <x v="5"/>
    <m/>
    <s v="Package 3"/>
    <s v=""/>
    <s v=""/>
    <s v=""/>
    <m/>
    <m/>
    <x v="2"/>
  </r>
  <r>
    <x v="0"/>
    <s v="Pilar III"/>
    <x v="1"/>
    <s v="lt004_protection"/>
    <s v="TYP_EMSSNS_LBL"/>
    <x v="5"/>
    <m/>
    <s v="Package 2"/>
    <s v=""/>
    <s v=""/>
    <s v=""/>
    <m/>
    <m/>
    <x v="2"/>
  </r>
  <r>
    <x v="0"/>
    <s v="Pilar III"/>
    <x v="1"/>
    <s v="lt004_protection"/>
    <s v="EPC_EMSSNS_LBL"/>
    <x v="5"/>
    <m/>
    <s v="Package 4"/>
    <s v=""/>
    <s v=""/>
    <s v=""/>
    <m/>
    <m/>
    <x v="2"/>
  </r>
  <r>
    <x v="0"/>
    <s v="Pilar III"/>
    <x v="1"/>
    <s v="lt004_protection"/>
    <s v="VHCL_EMSSNS_LBL"/>
    <x v="5"/>
    <m/>
    <s v="Package 2"/>
    <s v=""/>
    <s v=""/>
    <s v=""/>
    <m/>
    <m/>
    <x v="2"/>
  </r>
  <r>
    <x v="0"/>
    <s v="Pilar III"/>
    <x v="1"/>
    <s v="lt004_protection"/>
    <s v="TYP_EMSSNS_SCR"/>
    <x v="5"/>
    <m/>
    <s v="Package 4"/>
    <s v=""/>
    <s v=""/>
    <s v=""/>
    <m/>
    <m/>
    <x v="2"/>
  </r>
  <r>
    <x v="0"/>
    <s v="Pilar III"/>
    <x v="1"/>
    <s v="lt004_protection"/>
    <s v="EPC_EMSSNS_SCR"/>
    <x v="5"/>
    <m/>
    <s v="Package 4"/>
    <s v=""/>
    <s v=""/>
    <s v=""/>
    <m/>
    <m/>
    <x v="2"/>
  </r>
  <r>
    <x v="0"/>
    <s v="Pilar III"/>
    <x v="1"/>
    <s v="lt004_protection"/>
    <s v="VHCL_EMSSNS_SCR"/>
    <x v="5"/>
    <m/>
    <s v="Package 2"/>
    <s v=""/>
    <s v=""/>
    <s v=""/>
    <m/>
    <m/>
    <x v="2"/>
  </r>
  <r>
    <x v="0"/>
    <s v="Pilar III"/>
    <x v="1"/>
    <s v="lt004_protection"/>
    <s v="INSRNC_ID"/>
    <x v="5"/>
    <m/>
    <s v="Package 2"/>
    <s v=""/>
    <s v=""/>
    <s v=""/>
    <m/>
    <m/>
    <x v="2"/>
  </r>
  <r>
    <x v="0"/>
    <s v="Pilar III"/>
    <x v="1"/>
    <s v="lt004_protection"/>
    <s v="TYP_HZRDS_INSRD"/>
    <x v="5"/>
    <m/>
    <s v="Package 2"/>
    <s v=""/>
    <s v=""/>
    <s v=""/>
    <m/>
    <m/>
    <x v="2"/>
  </r>
  <r>
    <x v="0"/>
    <s v="Pilar III"/>
    <x v="1"/>
    <s v="lt004_protection"/>
    <s v="AMNT_CVRD_INSRNC"/>
    <x v="5"/>
    <m/>
    <s v="Package 2"/>
    <s v=""/>
    <s v=""/>
    <s v=""/>
    <m/>
    <m/>
    <x v="2"/>
  </r>
  <r>
    <x v="0"/>
    <s v="Pilar III"/>
    <x v="1"/>
    <s v="lt004_protection"/>
    <s v="DT_MTRTY_INSRNC"/>
    <x v="5"/>
    <m/>
    <s v="Package 2"/>
    <s v=""/>
    <s v=""/>
    <s v=""/>
    <m/>
    <m/>
    <x v="2"/>
  </r>
  <r>
    <x v="0"/>
    <s v="Pilar III"/>
    <x v="1"/>
    <s v="lt004_protection"/>
    <s v="FLG_FRST_HM"/>
    <x v="5"/>
    <m/>
    <s v="Package 2"/>
    <s v=""/>
    <s v=""/>
    <s v=""/>
    <m/>
    <m/>
    <x v="2"/>
  </r>
  <r>
    <x v="0"/>
    <s v="Pilar III"/>
    <x v="1"/>
    <s v="lt004_protection"/>
    <s v="YR_CNSTRCTN"/>
    <x v="5"/>
    <m/>
    <s v="Package 3"/>
    <s v=""/>
    <s v=""/>
    <s v=""/>
    <m/>
    <m/>
    <x v="2"/>
  </r>
  <r>
    <x v="0"/>
    <s v="Pilar III"/>
    <x v="1"/>
    <s v="lt004_protection"/>
    <s v="BLDNG_AR"/>
    <x v="5"/>
    <m/>
    <s v="Package 3"/>
    <s v=""/>
    <s v=""/>
    <s v=""/>
    <m/>
    <m/>
    <x v="2"/>
  </r>
  <r>
    <x v="0"/>
    <s v="Pilar III"/>
    <x v="1"/>
    <s v="lt004_protection"/>
    <s v="RL_ESTT_CRTFCTN"/>
    <x v="5"/>
    <m/>
    <s v="Package 2"/>
    <s v=""/>
    <s v=""/>
    <s v=""/>
    <m/>
    <m/>
    <x v="2"/>
  </r>
  <r>
    <x v="0"/>
    <s v="Pilar III"/>
    <x v="1"/>
    <s v="lt004_protection"/>
    <s v="TYP_VHCL"/>
    <x v="5"/>
    <m/>
    <s v="Package 4"/>
    <s v=""/>
    <s v=""/>
    <s v=""/>
    <m/>
    <m/>
    <x v="2"/>
  </r>
  <r>
    <x v="0"/>
    <s v="Pilar III"/>
    <x v="1"/>
    <s v="lt004_protection"/>
    <s v="DT_RGSTRTN"/>
    <x v="5"/>
    <m/>
    <s v="Package 2"/>
    <s v=""/>
    <s v=""/>
    <s v=""/>
    <m/>
    <m/>
    <x v="2"/>
  </r>
  <r>
    <x v="0"/>
    <s v="Pilar III"/>
    <x v="1"/>
    <s v="lt004_protection"/>
    <s v="PRMRY_ENRGY_DMND_NN_RNWBL"/>
    <x v="5"/>
    <m/>
    <s v="Package 3"/>
    <s v=""/>
    <s v=""/>
    <s v=""/>
    <m/>
    <m/>
    <x v="2"/>
  </r>
  <r>
    <x v="0"/>
    <s v="Pilar III"/>
    <x v="1"/>
    <s v="lt004_protection"/>
    <s v="PRMRY_ENRGY_DMND_TTL"/>
    <x v="5"/>
    <m/>
    <s v="Package 4"/>
    <s v=""/>
    <s v=""/>
    <s v=""/>
    <m/>
    <m/>
    <x v="2"/>
  </r>
  <r>
    <x v="0"/>
    <s v="Pilar III"/>
    <x v="1"/>
    <s v="lt004_protection"/>
    <s v="PRMRY_ENRGY_DMND_RFRNC_VL"/>
    <x v="5"/>
    <m/>
    <s v="Package 4"/>
    <s v=""/>
    <s v=""/>
    <s v=""/>
    <m/>
    <m/>
    <x v="2"/>
  </r>
  <r>
    <x v="0"/>
    <s v="Pilar III"/>
    <x v="1"/>
    <s v="lt004_protection"/>
    <s v="RL_ESTT_CLMT_ZN"/>
    <x v="5"/>
    <m/>
    <s v="Package 5"/>
    <s v=""/>
    <s v=""/>
    <s v=""/>
    <m/>
    <m/>
    <x v="2"/>
  </r>
  <r>
    <x v="0"/>
    <s v="Pilar III"/>
    <x v="1"/>
    <s v="lt004_protection"/>
    <s v="flg_col"/>
    <x v="2"/>
    <s v="1. Concluído"/>
    <s v="Tema de Loan Tape Estrutural"/>
    <s v=""/>
    <s v=""/>
    <s v=""/>
    <m/>
    <m/>
    <x v="3"/>
  </r>
  <r>
    <x v="0"/>
    <s v="Pilar III"/>
    <x v="1"/>
    <s v="lt004_protection"/>
    <s v="flg_pro"/>
    <x v="2"/>
    <s v="1. Concluído"/>
    <s v="Tema de Loan Tape Estrutural"/>
    <s v=""/>
    <s v=""/>
    <s v=""/>
    <m/>
    <m/>
    <x v="3"/>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5"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3" firstHeaderRow="1" firstDataRow="1" firstDataCol="1" rowPageCount="3"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Page" showAll="0">
      <items count="5">
        <item x="0"/>
        <item x="1"/>
        <item x="3"/>
        <item x="2"/>
        <item t="default"/>
      </items>
    </pivotField>
  </pivotFields>
  <rowFields count="1">
    <field x="5"/>
  </rowFields>
  <rowItems count="10">
    <i>
      <x/>
    </i>
    <i>
      <x v="1"/>
    </i>
    <i>
      <x v="2"/>
    </i>
    <i>
      <x v="3"/>
    </i>
    <i>
      <x v="4"/>
    </i>
    <i>
      <x v="5"/>
    </i>
    <i>
      <x v="6"/>
    </i>
    <i>
      <x v="7"/>
    </i>
    <i>
      <x v="9"/>
    </i>
    <i t="grand">
      <x/>
    </i>
  </rowItems>
  <colItems count="1">
    <i/>
  </colItems>
  <pageFields count="3">
    <pageField fld="0" item="0" hier="-1"/>
    <pageField fld="13"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1">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5"/>
          </reference>
        </references>
      </pivotArea>
    </chartFormat>
    <chartFormat chart="6" format="26">
      <pivotArea type="data" outline="0" fieldPosition="0">
        <references count="3">
          <reference field="4294967294" count="1" selected="0">
            <x v="0"/>
          </reference>
          <reference field="3" count="1" selected="0">
            <x v="1"/>
          </reference>
          <reference field="5" count="1" selected="0">
            <x v="5"/>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 chart="6" format="28">
      <pivotArea type="data" outline="0" fieldPosition="0">
        <references count="3">
          <reference field="4294967294" count="1" selected="0">
            <x v="0"/>
          </reference>
          <reference field="3" count="1" selected="0">
            <x v="5"/>
          </reference>
          <reference field="5" count="1" selected="0">
            <x v="5"/>
          </reference>
        </references>
      </pivotArea>
    </chartFormat>
    <chartFormat chart="6" format="29" series="1">
      <pivotArea type="data" outline="0" fieldPosition="0">
        <references count="2">
          <reference field="4294967294" count="1" selected="0">
            <x v="0"/>
          </reference>
          <reference field="5" count="1" selected="0">
            <x v="4"/>
          </reference>
        </references>
      </pivotArea>
    </chartFormat>
    <chartFormat chart="6" format="30" series="1">
      <pivotArea type="data" outline="0" fieldPosition="0">
        <references count="2">
          <reference field="4294967294" count="1" selected="0">
            <x v="0"/>
          </reference>
          <reference field="5" count="1" selected="0">
            <x v="3"/>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0" cacheId="13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9">
        <item x="1"/>
        <item x="0"/>
        <item x="8"/>
        <item x="4"/>
        <item x="3"/>
        <item x="6"/>
        <item x="2"/>
        <item x="5"/>
        <item x="7"/>
      </items>
    </pivotField>
    <pivotField dataField="1" subtotalTop="0" showAll="0" defaultSubtotal="0"/>
  </pivotFields>
  <rowFields count="1">
    <field x="3"/>
  </rowFields>
  <rowItems count="8">
    <i>
      <x/>
    </i>
    <i>
      <x v="1"/>
    </i>
    <i>
      <x v="3"/>
    </i>
    <i>
      <x v="4"/>
    </i>
    <i>
      <x v="5"/>
    </i>
    <i>
      <x v="6"/>
    </i>
    <i>
      <x v="7"/>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1">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3"/>
          </reference>
        </references>
      </pivotArea>
    </chartFormat>
    <chartFormat chart="6" format="31">
      <pivotArea type="data" outline="0" fieldPosition="0">
        <references count="2">
          <reference field="4294967294" count="1" selected="0">
            <x v="0"/>
          </reference>
          <reference field="3" count="1" selected="0">
            <x v="4"/>
          </reference>
        </references>
      </pivotArea>
    </chartFormat>
    <chartFormat chart="6" format="32">
      <pivotArea type="data" outline="0" fieldPosition="0">
        <references count="2">
          <reference field="4294967294" count="1" selected="0">
            <x v="0"/>
          </reference>
          <reference field="3" count="1" selected="0">
            <x v="5"/>
          </reference>
        </references>
      </pivotArea>
    </chartFormat>
    <chartFormat chart="6" format="33">
      <pivotArea type="data" outline="0" fieldPosition="0">
        <references count="2">
          <reference field="4294967294" count="1" selected="0">
            <x v="0"/>
          </reference>
          <reference field="3" count="1" selected="0">
            <x v="6"/>
          </reference>
        </references>
      </pivotArea>
    </chartFormat>
    <chartFormat chart="6" format="34">
      <pivotArea type="data" outline="0" fieldPosition="0">
        <references count="2">
          <reference field="4294967294" count="1" selected="0">
            <x v="0"/>
          </reference>
          <reference field="3" count="1" selected="0">
            <x v="7"/>
          </reference>
        </references>
      </pivotArea>
    </chartFormat>
    <chartFormat chart="6" format="35">
      <pivotArea type="data" outline="0" fieldPosition="0">
        <references count="2">
          <reference field="4294967294" count="1" selected="0">
            <x v="0"/>
          </reference>
          <reference field="3" count="1" selected="0">
            <x v="8"/>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8"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9">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7"/>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5">
      <pivotArea type="data" outline="0" fieldPosition="0">
        <references count="2">
          <reference field="4294967294" count="1" selected="0">
            <x v="0"/>
          </reference>
          <reference field="4" count="1" selected="0">
            <x v="2"/>
          </reference>
        </references>
      </pivotArea>
    </chartFormat>
    <chartFormat chart="6" format="46">
      <pivotArea type="data" outline="0" fieldPosition="0">
        <references count="2">
          <reference field="4294967294" count="1" selected="0">
            <x v="0"/>
          </reference>
          <reference field="4" count="1" selected="0">
            <x v="6"/>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1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9">
        <item x="0"/>
        <item x="1"/>
        <item x="2"/>
        <item x="3"/>
        <item x="4"/>
        <item x="5"/>
        <item x="6"/>
        <item x="7"/>
        <item x="8"/>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38" series="1">
      <pivotArea type="data" outline="0" fieldPosition="0">
        <references count="2">
          <reference field="4294967294" count="1" selected="0">
            <x v="0"/>
          </reference>
          <reference field="5" count="1" selected="0">
            <x v="8"/>
          </reference>
        </references>
      </pivotArea>
    </chartFormat>
    <chartFormat chart="7" format="39">
      <pivotArea type="data" outline="0" fieldPosition="0">
        <references count="3">
          <reference field="4294967294" count="1" selected="0">
            <x v="0"/>
          </reference>
          <reference field="3" count="1" selected="0">
            <x v="0"/>
          </reference>
          <reference field="5" count="1" selected="0">
            <x v="8"/>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6"/>
          </reference>
        </references>
      </pivotArea>
    </chartFormat>
    <chartFormat chart="7" format="53" series="1">
      <pivotArea type="data" outline="0" fieldPosition="0">
        <references count="2">
          <reference field="4294967294" count="1" selected="0">
            <x v="0"/>
          </reference>
          <reference field="5" count="1" selected="0">
            <x v="2"/>
          </reference>
        </references>
      </pivotArea>
    </chartFormat>
    <chartFormat chart="7" format="54" series="1">
      <pivotArea type="data" outline="0" fieldPosition="0">
        <references count="2">
          <reference field="4294967294" count="1" selected="0">
            <x v="0"/>
          </reference>
          <reference field="5" count="1" selected="0">
            <x v="5"/>
          </reference>
        </references>
      </pivotArea>
    </chartFormat>
    <chartFormat chart="7" format="56" series="1">
      <pivotArea type="data" outline="0" fieldPosition="0">
        <references count="2">
          <reference field="4294967294" count="1" selected="0">
            <x v="0"/>
          </reference>
          <reference field="5" count="1" selected="0">
            <x v="7"/>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5" cacheId="1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7">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5"/>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 chart="6" format="49">
      <pivotArea type="data" outline="0" fieldPosition="0">
        <references count="2">
          <reference field="4294967294" count="1" selected="0">
            <x v="0"/>
          </reference>
          <reference field="6" count="1" selected="0">
            <x v="4"/>
          </reference>
        </references>
      </pivotArea>
    </chartFormat>
    <chartFormat chart="6" format="50">
      <pivotArea type="data" outline="0" fieldPosition="0">
        <references count="2">
          <reference field="4294967294" count="1" selected="0">
            <x v="0"/>
          </reference>
          <reference field="6" count="1" selected="0">
            <x v="3"/>
          </reference>
        </references>
      </pivotArea>
    </chartFormat>
  </chartFormats>
  <pivotHierarchies count="67">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7" cacheId="12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I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2">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9" series="1">
      <pivotArea type="data" outline="0" fieldPosition="0">
        <references count="2">
          <reference field="4294967294" count="1" selected="0">
            <x v="0"/>
          </reference>
          <reference field="5" count="1" selected="0">
            <x v="7"/>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3" series="1">
      <pivotArea type="data" outline="0" fieldPosition="0">
        <references count="2">
          <reference field="4294967294" count="1" selected="0">
            <x v="0"/>
          </reference>
          <reference field="5" count="1" selected="0">
            <x v="2"/>
          </reference>
        </references>
      </pivotArea>
    </chartFormat>
    <chartFormat chart="3" format="54" series="1">
      <pivotArea type="data" outline="0" fieldPosition="0">
        <references count="2">
          <reference field="4294967294" count="1" selected="0">
            <x v="0"/>
          </reference>
          <reference field="5" count="1" selected="0">
            <x v="6"/>
          </reference>
        </references>
      </pivotArea>
    </chartFormat>
    <chartFormat chart="3" format="55">
      <pivotArea type="data" outline="0" fieldPosition="0">
        <references count="3">
          <reference field="4294967294" count="1" selected="0">
            <x v="0"/>
          </reference>
          <reference field="3" count="1" selected="0">
            <x v="3"/>
          </reference>
          <reference field="5" count="1" selected="0">
            <x v="6"/>
          </reference>
        </references>
      </pivotArea>
    </chartFormat>
    <chartFormat chart="3" format="56">
      <pivotArea type="data" outline="0" fieldPosition="0">
        <references count="3">
          <reference field="4294967294" count="1" selected="0">
            <x v="0"/>
          </reference>
          <reference field="3" count="1" selected="0">
            <x v="3"/>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5"/>
          </reference>
        </references>
      </pivotArea>
    </chartFormat>
    <chartFormat chart="3" format="61">
      <pivotArea type="data" outline="0" fieldPosition="0">
        <references count="3">
          <reference field="4294967294" count="1" selected="0">
            <x v="0"/>
          </reference>
          <reference field="3" count="1" selected="0">
            <x v="3"/>
          </reference>
          <reference field="5" count="1" selected="0">
            <x v="5"/>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14" cacheId="1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L15" firstHeaderRow="1" firstDataRow="2" firstDataCol="1" rowPageCount="2" colPageCount="1"/>
  <pivotFields count="14">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1">
        <item x="2"/>
        <item x="1"/>
        <item x="3"/>
        <item x="7"/>
        <item x="4"/>
        <item x="8"/>
        <item x="0"/>
        <item x="6"/>
        <item m="1" x="9"/>
        <item x="5"/>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s>
  <rowFields count="1">
    <field x="13"/>
  </rowFields>
  <rowItems count="5">
    <i>
      <x/>
    </i>
    <i>
      <x v="1"/>
    </i>
    <i>
      <x v="2"/>
    </i>
    <i>
      <x v="3"/>
    </i>
    <i t="grand">
      <x/>
    </i>
  </rowItems>
  <colFields count="1">
    <field x="5"/>
  </colFields>
  <colItems count="10">
    <i>
      <x/>
    </i>
    <i>
      <x v="1"/>
    </i>
    <i>
      <x v="2"/>
    </i>
    <i>
      <x v="3"/>
    </i>
    <i>
      <x v="4"/>
    </i>
    <i>
      <x v="5"/>
    </i>
    <i>
      <x v="6"/>
    </i>
    <i>
      <x v="7"/>
    </i>
    <i>
      <x v="9"/>
    </i>
    <i t="grand">
      <x/>
    </i>
  </colItems>
  <pageFields count="2">
    <pageField fld="0" item="0" hier="-1"/>
    <pageField fld="2" item="1" hier="-1"/>
  </pageFields>
  <dataFields count="1">
    <dataField name="Count of Campo" fld="4" subtotal="count" baseField="0" baseItem="0"/>
  </dataFields>
  <chartFormats count="10">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4" name="Table4" displayName="Table4" ref="B6:O725" totalsRowShown="0" headerRowDxfId="0" tableBorderDxfId="454">
  <tableColumns count="14">
    <tableColumn id="1" name="Âmbito" dataDxfId="453"/>
    <tableColumn id="2" name="Sub-âmbito" dataDxfId="452"/>
    <tableColumn id="3" name="Tipo de teste" dataDxfId="451"/>
    <tableColumn id="4" name="Tabela" dataDxfId="450"/>
    <tableColumn id="5" name="Campo" dataDxfId="449"/>
    <tableColumn id="6" name="Status Atual" dataDxfId="448">
      <calculatedColumnFormula>VLOOKUP(A7,Plano_V3!$A$26:$G$753,7,0)</calculatedColumnFormula>
    </tableColumn>
    <tableColumn id="7" name="Status Anterior" dataDxfId="447"/>
    <tableColumn id="8" name="Observações" dataDxfId="446"/>
    <tableColumn id="9" name="Data de Pedido correção/esclarecimento" dataDxfId="445">
      <calculatedColumnFormula>IF(VLOOKUP(A7,'Aux - pivots1'!$A:$E,3,0)=0, "",VLOOKUP(A7,'Aux - pivots1'!$A:$E,3,0))</calculatedColumnFormula>
    </tableColumn>
    <tableColumn id="10" name="Data de correção prevista" dataDxfId="444">
      <calculatedColumnFormula>IF(VLOOKUP(A7,'Aux - pivots1'!$A:$E,4,0)=0, "",VLOOKUP(A7,'Aux - pivots1'!$A:$E,4,0))</calculatedColumnFormula>
    </tableColumn>
    <tableColumn id="11" name="Data de correção efetiva" dataDxfId="443">
      <calculatedColumnFormula>IF(VLOOKUP(A7,'Aux - pivots1'!$A:$E,5,0)=0, "",VLOOKUP(A7,'Aux - pivots1'!$A:$E,5,0))</calculatedColumnFormula>
    </tableColumn>
    <tableColumn id="12" name="Data Prevista de Re-especificação" dataDxfId="442"/>
    <tableColumn id="13" name="Data Prevista de Teste" dataDxfId="441"/>
    <tableColumn id="14" name="Modelo" dataDxfId="440"/>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439" dataDxfId="437" totalsRowDxfId="435" headerRowBorderDxfId="438" tableBorderDxfId="436" totalsRowBorderDxfId="434">
  <autoFilter ref="B8:X1519">
    <filterColumn colId="4">
      <filters>
        <filter val="lt007_instr_activity"/>
      </filters>
    </filterColumn>
  </autoFilter>
  <tableColumns count="23">
    <tableColumn id="1" name="Âmbito" dataDxfId="433" totalsRowDxfId="432"/>
    <tableColumn id="12" name="Sub-âmbito" dataDxfId="431" totalsRowDxfId="430"/>
    <tableColumn id="2" name="Origem" dataDxfId="429" totalsRowDxfId="428"/>
    <tableColumn id="18" name="Campo Origem" dataDxfId="427" totalsRowDxfId="426"/>
    <tableColumn id="5" name="Tabela" dataDxfId="425" totalsRowDxfId="424"/>
    <tableColumn id="3" name="Campo" dataDxfId="423" totalsRowDxfId="422"/>
    <tableColumn id="20" name="concat" dataDxfId="421" totalsRowDxfId="420">
      <calculatedColumnFormula>Table1[[#This Row],[Tabela]]&amp;Table1[[#This Row],[Campo]]</calculatedColumnFormula>
    </tableColumn>
    <tableColumn id="4" name="Status" dataDxfId="419" totalsRowDxfId="418"/>
    <tableColumn id="19" name="Status2" dataDxfId="417">
      <calculatedColumnFormula>VLOOKUP(Table1[[#This Row],[Status]],Auxiliar!$B$16:$C$24,2,0)</calculatedColumnFormula>
    </tableColumn>
    <tableColumn id="6" name="Tipologia_Testes" dataDxfId="416" totalsRowDxfId="415"/>
    <tableColumn id="10" name="Necessidade de re-especificação? (campo)" dataDxfId="414" totalsRowDxfId="413"/>
    <tableColumn id="9" name="Complexidade" dataDxfId="412" totalsRowDxfId="411"/>
    <tableColumn id="17" name="Data de Alteração Status" dataDxfId="410" totalsRowDxfId="409"/>
    <tableColumn id="8" name="Estimação (horas)" totalsRowFunction="custom" dataDxfId="408" totalsRowDxfId="407">
      <calculatedColumnFormula>INDEX(Auxiliar!$D$5:$F$11,MATCH(Table1[[#This Row],[Tipologia_Testes]],Auxiliar!$B$5:$B$11,0),MATCH(Table1[[#This Row],[Complexidade]],Auxiliar!$D$4:$F$4,0))</calculatedColumnFormula>
      <totalsRowFormula>SUMIF(Table1[Estimação (horas)],"&gt;0")</totalsRowFormula>
    </tableColumn>
    <tableColumn id="7" name="Notas" dataDxfId="406" totalsRowDxfId="405"/>
    <tableColumn id="11" name="Owner" dataDxfId="404" totalsRowDxfId="403"/>
    <tableColumn id="21" name="Data alteração especificação" dataDxfId="402" totalsRowDxfId="401"/>
    <tableColumn id="13" name="Data de inicio testes" dataDxfId="400" totalsRowDxfId="399"/>
    <tableColumn id="14" name="Data de incidência / pedido esclarecimento" dataDxfId="398" totalsRowDxfId="397"/>
    <tableColumn id="15" name="Data de correção/resposta prevista" dataDxfId="396" totalsRowDxfId="395"/>
    <tableColumn id="22" name="Data de correção/resposta efetiva" dataDxfId="394" totalsRowDxfId="393"/>
    <tableColumn id="23" name="Horas efetivas" dataDxfId="392" totalsRowDxfId="391">
      <calculatedColumnFormula>VLOOKUP(Table1[[#This Row],[Status]],Auxiliar!$B$16:$D$24,3,0)*Table1[[#This Row],[Estimação (horas)]]</calculatedColumnFormula>
    </tableColumn>
    <tableColumn id="16" name="Query" dataDxfId="390" totalsRowDxfId="389"/>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5" customFormat="1">
      <c r="AF1" s="117"/>
    </row>
    <row r="2" spans="1:168" s="25" customFormat="1"/>
    <row r="3" spans="1:168" s="25" customFormat="1"/>
    <row r="4" spans="1:168"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199999999999999"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199999999999999"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Re-especificação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Re-especificação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2.2 Em Re-especificação</v>
      </c>
      <c r="H397" s="64">
        <f>VLOOKUP(A397,'Aux - pivots1'!$A:$B,2,0)</f>
        <v>3</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Re-especificação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Re-especificação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Re-especificação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Re-especificação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2.2 Em Re-especificação</v>
      </c>
      <c r="H448" s="64">
        <f>VLOOKUP(A448,'Aux - pivots1'!$A:$B,2,0)</f>
        <v>3</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5. Em Correção</v>
      </c>
      <c r="H541" s="64">
        <f>VLOOKUP(A541,'Aux - pivots1'!$A:$B,2,0)</f>
        <v>6</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5. Em Correção</v>
      </c>
      <c r="H542" s="64">
        <f>VLOOKUP(A542,'Aux - pivots1'!$A:$B,2,0)</f>
        <v>6</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5. Em Correção</v>
      </c>
      <c r="H543" s="64">
        <f>VLOOKUP(A543,'Aux - pivots1'!$A:$B,2,0)</f>
        <v>6</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199999999999999"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199999999999999"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88" priority="11" operator="notEqual">
      <formula>0</formula>
    </cfRule>
  </conditionalFormatting>
  <conditionalFormatting sqref="L21:L23">
    <cfRule type="cellIs" dxfId="387" priority="3" operator="notEqual">
      <formula>0</formula>
    </cfRule>
  </conditionalFormatting>
  <conditionalFormatting sqref="L577:L579">
    <cfRule type="cellIs" dxfId="386" priority="2" operator="notEqual">
      <formula>0</formula>
    </cfRule>
  </conditionalFormatting>
  <conditionalFormatting sqref="L582:L636">
    <cfRule type="cellIs" dxfId="385" priority="1" operator="notEqual">
      <formula>0</formula>
    </cfRule>
  </conditionalFormatting>
  <conditionalFormatting sqref="M5:M6 N6:FK6">
    <cfRule type="cellIs" dxfId="384" priority="12" operator="notEqual">
      <formula>0</formula>
    </cfRule>
  </conditionalFormatting>
  <conditionalFormatting sqref="M15:FK18 M21:FK23 M577:FK579 M636:FK636">
    <cfRule type="cellIs" dxfId="383" priority="10" operator="greaterThan">
      <formula>0</formula>
    </cfRule>
  </conditionalFormatting>
  <conditionalFormatting sqref="M26:FK27">
    <cfRule type="cellIs" dxfId="382" priority="9" operator="greaterThan">
      <formula>0</formula>
    </cfRule>
  </conditionalFormatting>
  <conditionalFormatting sqref="M42:FK42">
    <cfRule type="cellIs" dxfId="381" priority="8" operator="greaterThan">
      <formula>0</formula>
    </cfRule>
  </conditionalFormatting>
  <conditionalFormatting sqref="M198:FK198">
    <cfRule type="cellIs" dxfId="380" priority="7" operator="greaterThan">
      <formula>0</formula>
    </cfRule>
  </conditionalFormatting>
  <conditionalFormatting sqref="M362:FK362">
    <cfRule type="cellIs" dxfId="379" priority="6" operator="greaterThan">
      <formula>0</formula>
    </cfRule>
  </conditionalFormatting>
  <conditionalFormatting sqref="M447:FK447">
    <cfRule type="cellIs" dxfId="378" priority="5" operator="greaterThan">
      <formula>0</formula>
    </cfRule>
  </conditionalFormatting>
  <conditionalFormatting sqref="M582:FK583">
    <cfRule type="cellIs" dxfId="37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50"/>
  <sheetViews>
    <sheetView showGridLines="0" topLeftCell="A4" zoomScale="70" zoomScaleNormal="70" workbookViewId="0">
      <selection activeCell="L37" sqref="L37"/>
    </sheetView>
  </sheetViews>
  <sheetFormatPr defaultColWidth="0" defaultRowHeight="17.399999999999999" zeroHeight="1"/>
  <cols>
    <col min="1" max="2" width="3.69921875" style="25" customWidth="1"/>
    <col min="3" max="3" width="8.69921875" style="25" customWidth="1"/>
    <col min="4" max="4" width="12.5" style="25" customWidth="1"/>
    <col min="5" max="5" width="16.3984375" style="25" customWidth="1"/>
    <col min="6" max="6" width="16.19921875" style="25" customWidth="1"/>
    <col min="7" max="7" width="10.69921875" style="25" customWidth="1"/>
    <col min="8" max="9" width="12.19921875" style="25" customWidth="1"/>
    <col min="10" max="10" width="12" style="25" customWidth="1"/>
    <col min="11" max="11" width="13.8984375" style="25" customWidth="1"/>
    <col min="12" max="12" width="12.5" style="25" customWidth="1"/>
    <col min="13" max="13" width="18.69921875" style="25" customWidth="1"/>
    <col min="14" max="14" width="11.69921875" style="25" customWidth="1"/>
    <col min="15" max="15" width="12.3984375" style="25" customWidth="1"/>
    <col min="16" max="16" width="12.69921875" style="25" customWidth="1"/>
    <col min="17" max="17" width="13" style="25" customWidth="1"/>
    <col min="18" max="22" width="8.69921875" style="25" customWidth="1"/>
    <col min="23" max="23" width="10" style="25" customWidth="1"/>
    <col min="24" max="32" width="8.69921875" style="25" customWidth="1"/>
    <col min="33" max="34" width="3.69921875" style="25" customWidth="1"/>
    <col min="35" max="40" width="3.69921875" style="25" hidden="1" customWidth="1"/>
    <col min="41" max="16384" width="8.69921875" style="25" hidden="1"/>
  </cols>
  <sheetData>
    <row r="1" spans="1:34"/>
    <row r="2" spans="1:34"/>
    <row r="3" spans="1:34"/>
    <row r="4" spans="1:34"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2001</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4.9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7" customHeight="1">
      <c r="A8" s="116"/>
      <c r="B8" s="433" t="s">
        <v>2009</v>
      </c>
      <c r="C8" s="434"/>
      <c r="D8" s="434"/>
      <c r="E8" s="434"/>
      <c r="F8" s="434"/>
      <c r="G8" s="434"/>
      <c r="H8" s="434"/>
      <c r="I8" s="434"/>
      <c r="J8" s="434"/>
      <c r="K8" s="434"/>
      <c r="L8" s="434"/>
      <c r="M8" s="434"/>
      <c r="N8" s="434"/>
      <c r="O8" s="434"/>
      <c r="P8" s="434"/>
      <c r="Q8" s="434"/>
      <c r="R8" s="434"/>
      <c r="S8" s="434"/>
      <c r="T8" s="434"/>
      <c r="U8" s="434"/>
      <c r="V8" s="434"/>
      <c r="W8" s="434"/>
      <c r="X8" s="434"/>
      <c r="Y8" s="434"/>
      <c r="Z8" s="434"/>
      <c r="AA8" s="434"/>
      <c r="AB8" s="434"/>
      <c r="AC8" s="434"/>
      <c r="AD8" s="434"/>
      <c r="AE8" s="434"/>
      <c r="AF8" s="434"/>
      <c r="AG8" s="435"/>
      <c r="AH8" s="116"/>
    </row>
    <row r="9" spans="1:34" ht="17.7" customHeight="1">
      <c r="A9" s="116"/>
      <c r="B9" s="436"/>
      <c r="C9" s="437"/>
      <c r="D9" s="437"/>
      <c r="E9" s="437"/>
      <c r="F9" s="437"/>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8"/>
      <c r="AH9" s="116"/>
    </row>
    <row r="10" spans="1:34" ht="17.7" customHeight="1">
      <c r="A10" s="116"/>
      <c r="B10" s="436"/>
      <c r="C10" s="437"/>
      <c r="D10" s="437"/>
      <c r="E10" s="437"/>
      <c r="F10" s="437"/>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8"/>
      <c r="AH10" s="116"/>
    </row>
    <row r="11" spans="1:34" ht="17.7" customHeight="1">
      <c r="A11" s="116"/>
      <c r="B11" s="439"/>
      <c r="C11" s="440"/>
      <c r="D11" s="440"/>
      <c r="E11" s="440"/>
      <c r="F11" s="440"/>
      <c r="G11" s="440"/>
      <c r="H11" s="440"/>
      <c r="I11" s="440"/>
      <c r="J11" s="440"/>
      <c r="K11" s="440"/>
      <c r="L11" s="440"/>
      <c r="M11" s="440"/>
      <c r="N11" s="440"/>
      <c r="O11" s="440"/>
      <c r="P11" s="440"/>
      <c r="Q11" s="440"/>
      <c r="R11" s="440"/>
      <c r="S11" s="440"/>
      <c r="T11" s="440"/>
      <c r="U11" s="440"/>
      <c r="V11" s="440"/>
      <c r="W11" s="440"/>
      <c r="X11" s="440"/>
      <c r="Y11" s="440"/>
      <c r="Z11" s="440"/>
      <c r="AA11" s="440"/>
      <c r="AB11" s="440"/>
      <c r="AC11" s="440"/>
      <c r="AD11" s="440"/>
      <c r="AE11" s="440"/>
      <c r="AF11" s="440"/>
      <c r="AG11" s="441"/>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2.2" hidden="1">
      <c r="A13" s="116"/>
      <c r="B13" s="126" t="s">
        <v>1958</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2"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399999999999999"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399999999999999"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399999999999999"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Campo")+COUNTIFS(Table4[Status Anterior],'1. Status Resumo FY24'!$P134,Table4[Sub-âmbito],'1. Status Resumo FY24'!$G$130,Table4[Tipo de teste],"2. Campo")</f>
        <v>24</v>
      </c>
      <c r="U17"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Campo")+COUNTIFS(Table4[Status Atual],'1. Status Resumo FY24'!$P134,Table4[Sub-âmbito],'1. Status Resumo FY24'!$G$130,Table4[Tipo de teste],"2. Campo")</f>
        <v>26</v>
      </c>
      <c r="V17" s="25">
        <f>U17-T17</f>
        <v>2</v>
      </c>
      <c r="W17" s="334"/>
      <c r="X17" s="462"/>
      <c r="Y17" s="463"/>
      <c r="Z17" s="463"/>
      <c r="AA17" s="463"/>
      <c r="AB17" s="463"/>
      <c r="AC17" s="463"/>
      <c r="AD17" s="463"/>
      <c r="AE17" s="463"/>
      <c r="AF17" s="464"/>
      <c r="AG17" s="335"/>
      <c r="AH17" s="116"/>
    </row>
    <row r="18" spans="1:34" ht="17.399999999999999"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Campo")+COUNTIFS(Table4[Status Anterior],'1. Status Resumo FY24'!$P135,Table4[Sub-âmbito],'1. Status Resumo FY24'!$G$130,Table4[Tipo de teste],"2. Campo")</f>
        <v>471</v>
      </c>
      <c r="U18"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Campo")+COUNTIFS(Table4[Status Atual],'1. Status Resumo FY24'!$P135,Table4[Sub-âmbito],'1. Status Resumo FY24'!$G$130,Table4[Tipo de teste],"2. Campo")</f>
        <v>486</v>
      </c>
      <c r="V18" s="25">
        <f t="shared" ref="V18:V25" si="0">U18-T18</f>
        <v>15</v>
      </c>
      <c r="W18" s="334"/>
      <c r="X18" s="465"/>
      <c r="Y18" s="466"/>
      <c r="Z18" s="466"/>
      <c r="AA18" s="466"/>
      <c r="AB18" s="466"/>
      <c r="AC18" s="466"/>
      <c r="AD18" s="466"/>
      <c r="AE18" s="466"/>
      <c r="AF18" s="467"/>
      <c r="AG18" s="335"/>
      <c r="AH18" s="116"/>
    </row>
    <row r="19" spans="1:34" ht="17.399999999999999" hidden="1" customHeight="1">
      <c r="A19" s="116"/>
      <c r="B19" s="333"/>
      <c r="C19" s="334"/>
      <c r="D19" s="334"/>
      <c r="E19" s="334"/>
      <c r="F19" s="334"/>
      <c r="G19" s="334"/>
      <c r="H19" s="334"/>
      <c r="I19" s="334"/>
      <c r="J19" s="334"/>
      <c r="K19" s="334"/>
      <c r="L19" s="334"/>
      <c r="M19" s="334"/>
      <c r="N19" s="334"/>
      <c r="P19" s="25" t="s">
        <v>1862</v>
      </c>
      <c r="T19"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Campo")+COUNTIFS(Table4[Status Anterior],'1. Status Resumo FY24'!$P136,Table4[Sub-âmbito],'1. Status Resumo FY24'!$G$130,Table4[Tipo de teste],"2. Campo")</f>
        <v>6</v>
      </c>
      <c r="U19"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Campo")+COUNTIFS(Table4[Status Atual],'1. Status Resumo FY24'!$P136,Table4[Sub-âmbito],'1. Status Resumo FY24'!$G$130,Table4[Tipo de teste],"2. Campo")</f>
        <v>1</v>
      </c>
      <c r="V19" s="25">
        <f t="shared" si="0"/>
        <v>-5</v>
      </c>
      <c r="W19" s="334"/>
      <c r="X19" s="465"/>
      <c r="Y19" s="466"/>
      <c r="Z19" s="466"/>
      <c r="AA19" s="466"/>
      <c r="AB19" s="466"/>
      <c r="AC19" s="466"/>
      <c r="AD19" s="466"/>
      <c r="AE19" s="466"/>
      <c r="AF19" s="467"/>
      <c r="AG19" s="335"/>
      <c r="AH19" s="116"/>
    </row>
    <row r="20" spans="1:34" ht="17.399999999999999" hidden="1" customHeight="1">
      <c r="A20" s="116"/>
      <c r="B20" s="333"/>
      <c r="C20" s="334"/>
      <c r="D20" s="334"/>
      <c r="E20" s="334"/>
      <c r="F20" s="334"/>
      <c r="G20" s="334"/>
      <c r="H20" s="334"/>
      <c r="I20" s="334"/>
      <c r="J20" s="334"/>
      <c r="K20" s="334"/>
      <c r="L20" s="334"/>
      <c r="M20" s="334"/>
      <c r="N20" s="334"/>
      <c r="P20" s="25" t="s">
        <v>1863</v>
      </c>
      <c r="T20"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Campo")+COUNTIFS(Table4[Status Anterior],'1. Status Resumo FY24'!$P137,Table4[Sub-âmbito],'1. Status Resumo FY24'!$G$130,Table4[Tipo de teste],"2. Campo")</f>
        <v>18</v>
      </c>
      <c r="U20"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Campo")+COUNTIFS(Table4[Status Atual],'1. Status Resumo FY24'!$P137,Table4[Sub-âmbito],'1. Status Resumo FY24'!$G$130,Table4[Tipo de teste],"2. Campo")</f>
        <v>8</v>
      </c>
      <c r="V20" s="25">
        <f t="shared" si="0"/>
        <v>-10</v>
      </c>
      <c r="W20" s="334"/>
      <c r="X20" s="465"/>
      <c r="Y20" s="466"/>
      <c r="Z20" s="466"/>
      <c r="AA20" s="466"/>
      <c r="AB20" s="466"/>
      <c r="AC20" s="466"/>
      <c r="AD20" s="466"/>
      <c r="AE20" s="466"/>
      <c r="AF20" s="467"/>
      <c r="AG20" s="335"/>
      <c r="AH20" s="116"/>
    </row>
    <row r="21" spans="1:34" ht="17.399999999999999"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Campo")+COUNTIFS(Table4[Status Anterior],'1. Status Resumo FY24'!$P138,Table4[Sub-âmbito],'1. Status Resumo FY24'!$G$130,Table4[Tipo de teste],"2. Campo")</f>
        <v>10</v>
      </c>
      <c r="U21"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Campo")+COUNTIFS(Table4[Status Atual],'1. Status Resumo FY24'!$P138,Table4[Sub-âmbito],'1. Status Resumo FY24'!$G$130,Table4[Tipo de teste],"2. Campo")</f>
        <v>15</v>
      </c>
      <c r="V21" s="25">
        <f t="shared" si="0"/>
        <v>5</v>
      </c>
      <c r="W21" s="334"/>
      <c r="X21" s="465"/>
      <c r="Y21" s="466"/>
      <c r="Z21" s="466"/>
      <c r="AA21" s="466"/>
      <c r="AB21" s="466"/>
      <c r="AC21" s="466"/>
      <c r="AD21" s="466"/>
      <c r="AE21" s="466"/>
      <c r="AF21" s="467"/>
      <c r="AG21" s="335"/>
      <c r="AH21" s="116"/>
    </row>
    <row r="22" spans="1:34" ht="17.399999999999999"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Campo")+COUNTIFS(Table4[Status Anterior],'1. Status Resumo FY24'!$P139,Table4[Sub-âmbito],'1. Status Resumo FY24'!$G$130,Table4[Tipo de teste],"2. Campo")</f>
        <v>14</v>
      </c>
      <c r="U22"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Campo")+COUNTIFS(Table4[Status Atual],'1. Status Resumo FY24'!$P139,Table4[Sub-âmbito],'1. Status Resumo FY24'!$G$130,Table4[Tipo de teste],"2. Campo")</f>
        <v>56</v>
      </c>
      <c r="V22" s="25">
        <f t="shared" si="0"/>
        <v>42</v>
      </c>
      <c r="W22" s="334"/>
      <c r="X22" s="465"/>
      <c r="Y22" s="466"/>
      <c r="Z22" s="466"/>
      <c r="AA22" s="466"/>
      <c r="AB22" s="466"/>
      <c r="AC22" s="466"/>
      <c r="AD22" s="466"/>
      <c r="AE22" s="466"/>
      <c r="AF22" s="467"/>
      <c r="AG22" s="335"/>
      <c r="AH22" s="116"/>
    </row>
    <row r="23" spans="1:34" ht="17.399999999999999"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Campo")+COUNTIFS(Table4[Status Anterior],'1. Status Resumo FY24'!$P140,Table4[Sub-âmbito],'1. Status Resumo FY24'!$G$130,Table4[Tipo de teste],"2. Campo")</f>
        <v>1</v>
      </c>
      <c r="U23"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Campo")+COUNTIFS(Table4[Status Atual],'1. Status Resumo FY24'!$P140,Table4[Sub-âmbito],'1. Status Resumo FY24'!$G$130,Table4[Tipo de teste],"2. Campo")</f>
        <v>3</v>
      </c>
      <c r="V23" s="25">
        <f t="shared" si="0"/>
        <v>2</v>
      </c>
      <c r="W23" s="334"/>
      <c r="X23" s="465"/>
      <c r="Y23" s="466"/>
      <c r="Z23" s="466"/>
      <c r="AA23" s="466"/>
      <c r="AB23" s="466"/>
      <c r="AC23" s="466"/>
      <c r="AD23" s="466"/>
      <c r="AE23" s="466"/>
      <c r="AF23" s="467"/>
      <c r="AG23" s="335"/>
      <c r="AH23" s="116"/>
    </row>
    <row r="24" spans="1:34" ht="17.399999999999999"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Campo")+COUNTIFS(Table4[Status Anterior],'1. Status Resumo FY24'!$P141,Table4[Sub-âmbito],'1. Status Resumo FY24'!$G$130,Table4[Tipo de teste],"2. Campo")</f>
        <v>6</v>
      </c>
      <c r="U24"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Campo")+COUNTIFS(Table4[Status Atual],'1. Status Resumo FY24'!$P141,Table4[Sub-âmbito],'1. Status Resumo FY24'!$G$130,Table4[Tipo de teste],"2. Campo")</f>
        <v>48</v>
      </c>
      <c r="V24" s="25">
        <f t="shared" si="0"/>
        <v>42</v>
      </c>
      <c r="W24" s="334"/>
      <c r="X24" s="465"/>
      <c r="Y24" s="466"/>
      <c r="Z24" s="466"/>
      <c r="AA24" s="466"/>
      <c r="AB24" s="466"/>
      <c r="AC24" s="466"/>
      <c r="AD24" s="466"/>
      <c r="AE24" s="466"/>
      <c r="AF24" s="467"/>
      <c r="AG24" s="335"/>
      <c r="AH24" s="116"/>
    </row>
    <row r="25" spans="1:34" ht="17.399999999999999"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Campo")+COUNTIFS(Table4[Status Anterior],'1. Status Resumo FY24'!$P142,Table4[Sub-âmbito],'1. Status Resumo FY24'!$G$130,Table4[Tipo de teste],"2. Campo")</f>
        <v>0</v>
      </c>
      <c r="U25"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Campo")+COUNTIFS(Table4[Status Atual],'1. Status Resumo FY24'!$P142,Table4[Sub-âmbito],'1. Status Resumo FY24'!$G$130,Table4[Tipo de teste],"2. Campo")</f>
        <v>57</v>
      </c>
      <c r="V25" s="25">
        <f t="shared" si="0"/>
        <v>57</v>
      </c>
      <c r="W25" s="334"/>
      <c r="X25" s="465"/>
      <c r="Y25" s="466"/>
      <c r="Z25" s="466"/>
      <c r="AA25" s="466"/>
      <c r="AB25" s="466"/>
      <c r="AC25" s="466"/>
      <c r="AD25" s="466"/>
      <c r="AE25" s="466"/>
      <c r="AF25" s="467"/>
      <c r="AG25" s="335"/>
      <c r="AH25" s="116"/>
    </row>
    <row r="26" spans="1:34" ht="17.399999999999999" hidden="1" customHeight="1">
      <c r="A26" s="116"/>
      <c r="B26" s="333"/>
      <c r="C26" s="334"/>
      <c r="D26" s="334"/>
      <c r="E26" s="334"/>
      <c r="F26" s="334"/>
      <c r="G26" s="334"/>
      <c r="H26" s="334"/>
      <c r="I26" s="334"/>
      <c r="J26" s="334"/>
      <c r="K26" s="334"/>
      <c r="L26" s="334"/>
      <c r="M26" s="334"/>
      <c r="N26" s="334"/>
      <c r="T26" s="127">
        <f>SUM(T17:T25)</f>
        <v>550</v>
      </c>
      <c r="U26" s="127">
        <f>SUM(U17:U25)</f>
        <v>700</v>
      </c>
      <c r="W26" s="334"/>
      <c r="X26" s="468"/>
      <c r="Y26" s="469"/>
      <c r="Z26" s="469"/>
      <c r="AA26" s="469"/>
      <c r="AB26" s="469"/>
      <c r="AC26" s="469"/>
      <c r="AD26" s="469"/>
      <c r="AE26" s="469"/>
      <c r="AF26" s="470"/>
      <c r="AG26" s="335"/>
      <c r="AH26" s="116"/>
    </row>
    <row r="27" spans="1:34" ht="17.399999999999999"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2.2">
      <c r="A30" s="116"/>
      <c r="B30" s="126" t="s">
        <v>1965</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1" customFormat="1">
      <c r="A34" s="116"/>
      <c r="B34" s="346"/>
      <c r="C34" s="347" t="s">
        <v>2006</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90"/>
    </row>
    <row r="35" spans="1:34" s="342" customFormat="1" ht="17.399999999999999" customHeight="1">
      <c r="A35" s="116"/>
      <c r="B35" s="346"/>
      <c r="C35" s="352"/>
      <c r="D35" s="353" t="s">
        <v>1973</v>
      </c>
      <c r="E35" s="353" t="s">
        <v>1974</v>
      </c>
      <c r="F35" s="353" t="s">
        <v>1975</v>
      </c>
      <c r="G35" s="363" t="s">
        <v>1966</v>
      </c>
      <c r="H35" s="364">
        <v>45674</v>
      </c>
      <c r="I35" s="375">
        <v>45674</v>
      </c>
      <c r="J35" s="364">
        <v>45678</v>
      </c>
      <c r="K35" s="363" t="s">
        <v>1970</v>
      </c>
      <c r="L35" s="347"/>
      <c r="M35" s="347"/>
      <c r="N35" s="347"/>
      <c r="O35" s="347"/>
      <c r="P35" s="379"/>
      <c r="Q35" s="379"/>
      <c r="R35" s="395"/>
      <c r="S35" s="393"/>
      <c r="T35" s="393"/>
      <c r="U35" s="405" t="s">
        <v>632</v>
      </c>
      <c r="V35" s="405"/>
      <c r="W35" s="405"/>
      <c r="X35" s="405"/>
      <c r="Y35" s="405"/>
      <c r="Z35" s="405"/>
      <c r="AA35" s="405"/>
      <c r="AB35" s="405"/>
      <c r="AC35" s="405"/>
      <c r="AD35" s="392"/>
      <c r="AE35" s="392"/>
      <c r="AF35" s="392"/>
      <c r="AG35" s="376"/>
      <c r="AH35" s="390"/>
    </row>
    <row r="36" spans="1:34" s="342" customFormat="1">
      <c r="A36" s="116"/>
      <c r="B36" s="346"/>
      <c r="C36" s="353" t="s">
        <v>1968</v>
      </c>
      <c r="D36" s="354">
        <f>T84</f>
        <v>168</v>
      </c>
      <c r="E36" s="354">
        <f>T76</f>
        <v>147</v>
      </c>
      <c r="F36" s="354">
        <f>T75</f>
        <v>10</v>
      </c>
      <c r="G36" s="355">
        <f>D36-E36-F36</f>
        <v>11</v>
      </c>
      <c r="H36" s="354">
        <v>0</v>
      </c>
      <c r="I36" s="354">
        <v>0</v>
      </c>
      <c r="J36" s="354">
        <v>0</v>
      </c>
      <c r="K36" s="397">
        <f>SUM(H36:J36)</f>
        <v>0</v>
      </c>
      <c r="L36" s="347"/>
      <c r="M36" s="347"/>
      <c r="N36" s="347"/>
      <c r="O36" s="347"/>
      <c r="P36" s="379"/>
      <c r="Q36" s="379"/>
      <c r="R36" s="395"/>
      <c r="S36" s="393"/>
      <c r="T36" s="393"/>
      <c r="U36" s="405"/>
      <c r="V36" s="405"/>
      <c r="W36" s="405"/>
      <c r="X36" s="471" t="s">
        <v>2012</v>
      </c>
      <c r="Y36" s="472"/>
      <c r="Z36" s="472"/>
      <c r="AA36" s="472"/>
      <c r="AB36" s="472"/>
      <c r="AC36" s="472"/>
      <c r="AD36" s="472"/>
      <c r="AE36" s="472"/>
      <c r="AF36" s="473"/>
      <c r="AG36" s="376"/>
      <c r="AH36" s="390"/>
    </row>
    <row r="37" spans="1:34" s="342" customFormat="1">
      <c r="A37" s="116"/>
      <c r="B37" s="346"/>
      <c r="C37" s="353" t="s">
        <v>1969</v>
      </c>
      <c r="D37" s="354">
        <f>T108</f>
        <v>246</v>
      </c>
      <c r="E37" s="354">
        <f>T100</f>
        <v>204</v>
      </c>
      <c r="F37" s="354">
        <f>T99</f>
        <v>14</v>
      </c>
      <c r="G37" s="355">
        <f>D37-E37-F37</f>
        <v>28</v>
      </c>
      <c r="H37" s="354">
        <v>4</v>
      </c>
      <c r="I37" s="354">
        <v>7</v>
      </c>
      <c r="J37" s="354">
        <v>0</v>
      </c>
      <c r="K37" s="397">
        <f>SUM(I37:J37)</f>
        <v>7</v>
      </c>
      <c r="L37" s="347"/>
      <c r="M37" s="347"/>
      <c r="N37" s="347"/>
      <c r="O37" s="347"/>
      <c r="P37" s="379"/>
      <c r="Q37" s="379"/>
      <c r="R37" s="395"/>
      <c r="S37" s="393"/>
      <c r="T37" s="393"/>
      <c r="U37" s="405"/>
      <c r="V37" s="405"/>
      <c r="W37" s="405"/>
      <c r="X37" s="474"/>
      <c r="Y37" s="475"/>
      <c r="Z37" s="475"/>
      <c r="AA37" s="475"/>
      <c r="AB37" s="475"/>
      <c r="AC37" s="475"/>
      <c r="AD37" s="475"/>
      <c r="AE37" s="475"/>
      <c r="AF37" s="476"/>
      <c r="AG37" s="376"/>
      <c r="AH37" s="390"/>
    </row>
    <row r="38" spans="1:34" s="342" customFormat="1" ht="18" thickBot="1">
      <c r="A38" s="116"/>
      <c r="B38" s="346"/>
      <c r="C38" s="353" t="s">
        <v>26</v>
      </c>
      <c r="D38" s="354">
        <f>T143</f>
        <v>136</v>
      </c>
      <c r="E38" s="354">
        <f>T135</f>
        <v>120</v>
      </c>
      <c r="F38" s="354">
        <f>T134</f>
        <v>0</v>
      </c>
      <c r="G38" s="355">
        <f>D38-E38-F38</f>
        <v>16</v>
      </c>
      <c r="H38" s="354">
        <v>6</v>
      </c>
      <c r="I38" s="354">
        <v>8</v>
      </c>
      <c r="J38" s="354">
        <v>3</v>
      </c>
      <c r="K38" s="355">
        <f>SUM(I38:J38)</f>
        <v>11</v>
      </c>
      <c r="L38" s="347"/>
      <c r="M38" s="347"/>
      <c r="N38" s="347"/>
      <c r="O38" s="347"/>
      <c r="P38" s="379"/>
      <c r="Q38" s="379"/>
      <c r="R38" s="395"/>
      <c r="S38" s="393"/>
      <c r="T38" s="393"/>
      <c r="U38" s="405"/>
      <c r="V38" s="405"/>
      <c r="W38" s="405"/>
      <c r="X38" s="474"/>
      <c r="Y38" s="475"/>
      <c r="Z38" s="475"/>
      <c r="AA38" s="475"/>
      <c r="AB38" s="475"/>
      <c r="AC38" s="475"/>
      <c r="AD38" s="475"/>
      <c r="AE38" s="475"/>
      <c r="AF38" s="476"/>
      <c r="AG38" s="376"/>
      <c r="AH38" s="390"/>
    </row>
    <row r="39" spans="1:34" s="342" customFormat="1" ht="18" thickBot="1">
      <c r="A39" s="116"/>
      <c r="B39" s="346"/>
      <c r="C39" s="356" t="s">
        <v>1967</v>
      </c>
      <c r="D39" s="357">
        <f t="shared" ref="D39:I39" si="1">SUM(D36:D38)</f>
        <v>550</v>
      </c>
      <c r="E39" s="357">
        <f t="shared" si="1"/>
        <v>471</v>
      </c>
      <c r="F39" s="357">
        <f t="shared" si="1"/>
        <v>24</v>
      </c>
      <c r="G39" s="358">
        <f t="shared" si="1"/>
        <v>55</v>
      </c>
      <c r="H39" s="357">
        <f t="shared" si="1"/>
        <v>10</v>
      </c>
      <c r="I39" s="357">
        <f t="shared" si="1"/>
        <v>15</v>
      </c>
      <c r="J39" s="357">
        <v>0</v>
      </c>
      <c r="K39" s="358">
        <f>SUM(K36:K38)</f>
        <v>18</v>
      </c>
      <c r="L39" s="347"/>
      <c r="M39" s="347"/>
      <c r="N39" s="347"/>
      <c r="O39" s="347"/>
      <c r="P39" s="379"/>
      <c r="Q39" s="379"/>
      <c r="R39" s="395"/>
      <c r="S39" s="393"/>
      <c r="T39" s="393"/>
      <c r="U39" s="405"/>
      <c r="V39" s="405"/>
      <c r="W39" s="405"/>
      <c r="X39" s="474"/>
      <c r="Y39" s="475"/>
      <c r="Z39" s="475"/>
      <c r="AA39" s="475"/>
      <c r="AB39" s="475"/>
      <c r="AC39" s="475"/>
      <c r="AD39" s="475"/>
      <c r="AE39" s="475"/>
      <c r="AF39" s="476"/>
      <c r="AG39" s="376"/>
      <c r="AH39" s="390"/>
    </row>
    <row r="40" spans="1:34" s="342" customFormat="1">
      <c r="A40" s="116"/>
      <c r="B40" s="346"/>
      <c r="C40" s="347" t="s">
        <v>13</v>
      </c>
      <c r="D40" s="347"/>
      <c r="E40" s="359">
        <f>E39/$D$39</f>
        <v>0.85636363636363633</v>
      </c>
      <c r="F40" s="359">
        <f>F39/$D$39</f>
        <v>4.363636363636364E-2</v>
      </c>
      <c r="G40" s="359">
        <f>G39/$D$39</f>
        <v>0.1</v>
      </c>
      <c r="H40" s="347"/>
      <c r="I40" s="347"/>
      <c r="J40" s="347"/>
      <c r="K40" s="347"/>
      <c r="L40" s="347"/>
      <c r="M40" s="347"/>
      <c r="N40" s="347"/>
      <c r="O40" s="347"/>
      <c r="P40" s="347"/>
      <c r="Q40" s="347"/>
      <c r="R40" s="347"/>
      <c r="S40" s="347"/>
      <c r="T40" s="374"/>
      <c r="U40" s="374"/>
      <c r="V40" s="394"/>
      <c r="W40" s="394"/>
      <c r="X40" s="474"/>
      <c r="Y40" s="475"/>
      <c r="Z40" s="475"/>
      <c r="AA40" s="475"/>
      <c r="AB40" s="475"/>
      <c r="AC40" s="475"/>
      <c r="AD40" s="475"/>
      <c r="AE40" s="475"/>
      <c r="AF40" s="476"/>
      <c r="AG40" s="376"/>
      <c r="AH40" s="390"/>
    </row>
    <row r="41" spans="1:34">
      <c r="A41" s="116"/>
      <c r="B41" s="346"/>
      <c r="C41" s="360" t="s">
        <v>1971</v>
      </c>
      <c r="D41" s="347"/>
      <c r="E41" s="361">
        <f>E39/($D$39-$F$39)</f>
        <v>0.8954372623574145</v>
      </c>
      <c r="F41" s="362" t="s">
        <v>1972</v>
      </c>
      <c r="G41" s="361">
        <f>G39/($D$39-$F$39)</f>
        <v>0.10456273764258556</v>
      </c>
      <c r="H41" s="347"/>
      <c r="I41" s="347"/>
      <c r="J41" s="347"/>
      <c r="K41" s="347"/>
      <c r="L41" s="347"/>
      <c r="M41" s="347"/>
      <c r="N41" s="347"/>
      <c r="O41" s="347"/>
      <c r="P41" s="347"/>
      <c r="Q41" s="347"/>
      <c r="R41" s="347"/>
      <c r="S41" s="347"/>
      <c r="T41" s="374"/>
      <c r="U41" s="374"/>
      <c r="V41" s="394"/>
      <c r="W41" s="394"/>
      <c r="X41" s="474"/>
      <c r="Y41" s="475"/>
      <c r="Z41" s="475"/>
      <c r="AA41" s="475"/>
      <c r="AB41" s="475"/>
      <c r="AC41" s="475"/>
      <c r="AD41" s="475"/>
      <c r="AE41" s="475"/>
      <c r="AF41" s="476"/>
      <c r="AG41" s="376"/>
      <c r="AH41" s="390"/>
    </row>
    <row r="42" spans="1:34">
      <c r="A42" s="116"/>
      <c r="B42" s="346"/>
      <c r="C42" s="347"/>
      <c r="D42" s="347"/>
      <c r="E42" s="347"/>
      <c r="F42" s="347"/>
      <c r="G42" s="347"/>
      <c r="H42" s="347"/>
      <c r="I42" s="347"/>
      <c r="J42" s="347"/>
      <c r="K42" s="347"/>
      <c r="L42" s="347"/>
      <c r="M42" s="347"/>
      <c r="N42" s="347"/>
      <c r="O42" s="347"/>
      <c r="P42" s="347"/>
      <c r="Q42" s="347"/>
      <c r="R42" s="347"/>
      <c r="S42" s="347"/>
      <c r="T42" s="374"/>
      <c r="U42" s="374"/>
      <c r="V42" s="394"/>
      <c r="W42" s="394"/>
      <c r="X42" s="474"/>
      <c r="Y42" s="475"/>
      <c r="Z42" s="475"/>
      <c r="AA42" s="475"/>
      <c r="AB42" s="475"/>
      <c r="AC42" s="475"/>
      <c r="AD42" s="475"/>
      <c r="AE42" s="475"/>
      <c r="AF42" s="476"/>
      <c r="AG42" s="376"/>
      <c r="AH42" s="390"/>
    </row>
    <row r="43" spans="1:34">
      <c r="A43" s="116"/>
      <c r="B43" s="346"/>
      <c r="C43" s="347" t="s">
        <v>2373</v>
      </c>
      <c r="D43" s="347"/>
      <c r="E43" s="347"/>
      <c r="F43" s="347"/>
      <c r="G43" s="347"/>
      <c r="H43" s="347"/>
      <c r="I43" s="347"/>
      <c r="J43" s="347"/>
      <c r="K43" s="347"/>
      <c r="L43" s="347"/>
      <c r="M43" s="347"/>
      <c r="N43" s="347"/>
      <c r="O43" s="347"/>
      <c r="P43" s="347"/>
      <c r="Q43" s="347"/>
      <c r="R43" s="347"/>
      <c r="S43" s="347"/>
      <c r="T43" s="374"/>
      <c r="U43" s="374"/>
      <c r="V43" s="394"/>
      <c r="W43" s="394"/>
      <c r="X43" s="474"/>
      <c r="Y43" s="475"/>
      <c r="Z43" s="475"/>
      <c r="AA43" s="475"/>
      <c r="AB43" s="475"/>
      <c r="AC43" s="475"/>
      <c r="AD43" s="475"/>
      <c r="AE43" s="475"/>
      <c r="AF43" s="476"/>
      <c r="AG43" s="376"/>
      <c r="AH43" s="390"/>
    </row>
    <row r="44" spans="1:34">
      <c r="A44" s="116"/>
      <c r="B44" s="346"/>
      <c r="C44" s="352"/>
      <c r="D44" s="353" t="s">
        <v>1973</v>
      </c>
      <c r="E44" s="353" t="s">
        <v>1974</v>
      </c>
      <c r="F44" s="353" t="s">
        <v>1975</v>
      </c>
      <c r="G44" s="363" t="s">
        <v>1966</v>
      </c>
      <c r="H44" s="364">
        <v>45674</v>
      </c>
      <c r="I44" s="364">
        <v>45678</v>
      </c>
      <c r="J44" s="363" t="s">
        <v>2006</v>
      </c>
      <c r="K44" s="363" t="s">
        <v>1992</v>
      </c>
      <c r="L44" s="347"/>
      <c r="M44" s="347"/>
      <c r="N44" s="347"/>
      <c r="O44" s="347"/>
      <c r="P44" s="374"/>
      <c r="Q44" s="374"/>
      <c r="R44" s="374"/>
      <c r="S44" s="379"/>
      <c r="T44" s="377"/>
      <c r="U44" s="395"/>
      <c r="V44" s="405"/>
      <c r="W44" s="405"/>
      <c r="X44" s="474"/>
      <c r="Y44" s="475"/>
      <c r="Z44" s="475"/>
      <c r="AA44" s="475"/>
      <c r="AB44" s="475"/>
      <c r="AC44" s="475"/>
      <c r="AD44" s="475"/>
      <c r="AE44" s="475"/>
      <c r="AF44" s="476"/>
      <c r="AH44" s="390"/>
    </row>
    <row r="45" spans="1:34">
      <c r="A45" s="116"/>
      <c r="B45" s="346"/>
      <c r="C45" s="353" t="s">
        <v>1968</v>
      </c>
      <c r="D45" s="354">
        <f>U84</f>
        <v>202</v>
      </c>
      <c r="E45" s="354">
        <f>U76</f>
        <v>143</v>
      </c>
      <c r="F45" s="354">
        <f>U75</f>
        <v>10</v>
      </c>
      <c r="G45" s="355">
        <f>D45-E45-F45</f>
        <v>49</v>
      </c>
      <c r="H45" s="354">
        <v>0</v>
      </c>
      <c r="I45" s="354">
        <v>0</v>
      </c>
      <c r="J45" s="397">
        <f>SUM(I45)</f>
        <v>0</v>
      </c>
      <c r="K45" s="396">
        <f>G45-J45</f>
        <v>49</v>
      </c>
      <c r="L45" s="398" t="s">
        <v>2007</v>
      </c>
      <c r="M45" s="347"/>
      <c r="N45" s="347"/>
      <c r="O45" s="347"/>
      <c r="P45" s="374"/>
      <c r="Q45" s="374"/>
      <c r="R45" s="374"/>
      <c r="S45" s="379"/>
      <c r="T45" s="377"/>
      <c r="U45" s="395"/>
      <c r="V45" s="405"/>
      <c r="W45" s="405"/>
      <c r="X45" s="474"/>
      <c r="Y45" s="475"/>
      <c r="Z45" s="475"/>
      <c r="AA45" s="475"/>
      <c r="AB45" s="475"/>
      <c r="AC45" s="475"/>
      <c r="AD45" s="475"/>
      <c r="AE45" s="475"/>
      <c r="AF45" s="476"/>
      <c r="AH45" s="390"/>
    </row>
    <row r="46" spans="1:34">
      <c r="A46" s="116"/>
      <c r="B46" s="346"/>
      <c r="C46" s="353" t="s">
        <v>1969</v>
      </c>
      <c r="D46" s="354">
        <f>U108</f>
        <v>292</v>
      </c>
      <c r="E46" s="354">
        <f>U100</f>
        <v>207</v>
      </c>
      <c r="F46" s="354">
        <f>U99</f>
        <v>12</v>
      </c>
      <c r="G46" s="355">
        <f>D46-E46-F46</f>
        <v>73</v>
      </c>
      <c r="H46" s="354">
        <v>7</v>
      </c>
      <c r="I46" s="354">
        <v>0</v>
      </c>
      <c r="J46" s="397">
        <f>SUM(I46)</f>
        <v>0</v>
      </c>
      <c r="K46" s="396">
        <f>G46-J46</f>
        <v>73</v>
      </c>
      <c r="L46" s="399" t="s">
        <v>2010</v>
      </c>
      <c r="M46" s="347"/>
      <c r="N46" s="347"/>
      <c r="O46" s="347"/>
      <c r="P46" s="374"/>
      <c r="Q46" s="374"/>
      <c r="R46" s="374"/>
      <c r="S46" s="379"/>
      <c r="T46" s="377"/>
      <c r="U46" s="395"/>
      <c r="V46" s="405"/>
      <c r="W46" s="405"/>
      <c r="X46" s="474"/>
      <c r="Y46" s="475"/>
      <c r="Z46" s="475"/>
      <c r="AA46" s="475"/>
      <c r="AB46" s="475"/>
      <c r="AC46" s="475"/>
      <c r="AD46" s="475"/>
      <c r="AE46" s="475"/>
      <c r="AF46" s="476"/>
      <c r="AH46" s="390"/>
    </row>
    <row r="47" spans="1:34" ht="18" thickBot="1">
      <c r="A47" s="116"/>
      <c r="B47" s="346"/>
      <c r="C47" s="353" t="s">
        <v>26</v>
      </c>
      <c r="D47" s="354">
        <f>U143</f>
        <v>206</v>
      </c>
      <c r="E47" s="354">
        <f>U135</f>
        <v>136</v>
      </c>
      <c r="F47" s="354">
        <f>U134</f>
        <v>4</v>
      </c>
      <c r="G47" s="355">
        <f>D47-E47-F47</f>
        <v>66</v>
      </c>
      <c r="H47" s="354">
        <v>8</v>
      </c>
      <c r="I47" s="354">
        <v>3</v>
      </c>
      <c r="J47" s="397">
        <f>SUM(I47)</f>
        <v>3</v>
      </c>
      <c r="K47" s="396">
        <f t="shared" ref="K47" si="2">G47-J47</f>
        <v>63</v>
      </c>
      <c r="L47" s="398" t="s">
        <v>2008</v>
      </c>
      <c r="M47" s="347"/>
      <c r="N47" s="347"/>
      <c r="O47" s="347"/>
      <c r="P47" s="374"/>
      <c r="Q47" s="374"/>
      <c r="R47" s="374"/>
      <c r="S47" s="379"/>
      <c r="T47" s="377"/>
      <c r="U47" s="395"/>
      <c r="V47" s="405"/>
      <c r="W47" s="405"/>
      <c r="X47" s="474"/>
      <c r="Y47" s="475"/>
      <c r="Z47" s="475"/>
      <c r="AA47" s="475"/>
      <c r="AB47" s="475"/>
      <c r="AC47" s="475"/>
      <c r="AD47" s="475"/>
      <c r="AE47" s="475"/>
      <c r="AF47" s="476"/>
      <c r="AH47" s="390"/>
    </row>
    <row r="48" spans="1:34" ht="18" thickBot="1">
      <c r="A48" s="116"/>
      <c r="B48" s="346"/>
      <c r="C48" s="356" t="s">
        <v>1967</v>
      </c>
      <c r="D48" s="357">
        <f t="shared" ref="D48:H48" si="3">SUM(D45:D47)</f>
        <v>700</v>
      </c>
      <c r="E48" s="357">
        <f t="shared" si="3"/>
        <v>486</v>
      </c>
      <c r="F48" s="357">
        <f t="shared" si="3"/>
        <v>26</v>
      </c>
      <c r="G48" s="358">
        <f t="shared" si="3"/>
        <v>188</v>
      </c>
      <c r="H48" s="357">
        <f t="shared" si="3"/>
        <v>15</v>
      </c>
      <c r="I48" s="357">
        <v>0</v>
      </c>
      <c r="J48" s="400">
        <f>SUM(J45:J47)</f>
        <v>3</v>
      </c>
      <c r="K48" s="400">
        <f>SUM(K45:K47)</f>
        <v>185</v>
      </c>
      <c r="L48" s="347"/>
      <c r="M48" s="347"/>
      <c r="N48" s="347"/>
      <c r="O48" s="347"/>
      <c r="P48" s="374"/>
      <c r="Q48" s="374"/>
      <c r="R48" s="374"/>
      <c r="S48" s="379"/>
      <c r="T48" s="377"/>
      <c r="U48" s="395"/>
      <c r="V48" s="405"/>
      <c r="W48" s="405"/>
      <c r="X48" s="474"/>
      <c r="Y48" s="475"/>
      <c r="Z48" s="475"/>
      <c r="AA48" s="475"/>
      <c r="AB48" s="475"/>
      <c r="AC48" s="475"/>
      <c r="AD48" s="475"/>
      <c r="AE48" s="475"/>
      <c r="AF48" s="476"/>
      <c r="AH48" s="390"/>
    </row>
    <row r="49" spans="1:34">
      <c r="A49" s="116"/>
      <c r="B49" s="346"/>
      <c r="C49" s="347" t="s">
        <v>13</v>
      </c>
      <c r="D49" s="347"/>
      <c r="E49" s="359">
        <f>E48/$D$48</f>
        <v>0.69428571428571428</v>
      </c>
      <c r="F49" s="359">
        <f>F48/$D$48</f>
        <v>3.7142857142857144E-2</v>
      </c>
      <c r="G49" s="359">
        <f>G48/$D$48</f>
        <v>0.26857142857142857</v>
      </c>
      <c r="H49" s="347"/>
      <c r="I49" s="347"/>
      <c r="J49" s="347"/>
      <c r="K49" s="347"/>
      <c r="L49" s="347"/>
      <c r="M49" s="347"/>
      <c r="N49" s="347"/>
      <c r="O49" s="347"/>
      <c r="P49" s="347"/>
      <c r="Q49" s="347"/>
      <c r="R49" s="347"/>
      <c r="S49" s="347"/>
      <c r="T49" s="374"/>
      <c r="U49" s="374"/>
      <c r="V49" s="394"/>
      <c r="W49" s="394"/>
      <c r="X49" s="474"/>
      <c r="Y49" s="475"/>
      <c r="Z49" s="475"/>
      <c r="AA49" s="475"/>
      <c r="AB49" s="475"/>
      <c r="AC49" s="475"/>
      <c r="AD49" s="475"/>
      <c r="AE49" s="475"/>
      <c r="AF49" s="476"/>
      <c r="AG49" s="376"/>
      <c r="AH49" s="390"/>
    </row>
    <row r="50" spans="1:34">
      <c r="A50" s="116"/>
      <c r="B50" s="346"/>
      <c r="C50" s="360" t="s">
        <v>1971</v>
      </c>
      <c r="D50" s="360"/>
      <c r="E50" s="361">
        <f>E48/($D$48-F48)</f>
        <v>0.72106824925816027</v>
      </c>
      <c r="F50" s="362" t="s">
        <v>1972</v>
      </c>
      <c r="G50" s="361">
        <f>G48/($D$48-F48)</f>
        <v>0.27893175074183979</v>
      </c>
      <c r="H50" s="347"/>
      <c r="I50" s="347"/>
      <c r="J50" s="347"/>
      <c r="K50" s="347"/>
      <c r="L50" s="347"/>
      <c r="M50" s="347"/>
      <c r="N50" s="347"/>
      <c r="O50" s="347"/>
      <c r="P50" s="347"/>
      <c r="Q50" s="347"/>
      <c r="R50" s="347"/>
      <c r="S50" s="347"/>
      <c r="T50" s="374"/>
      <c r="U50" s="374"/>
      <c r="V50" s="394"/>
      <c r="W50" s="394"/>
      <c r="X50" s="474"/>
      <c r="Y50" s="475"/>
      <c r="Z50" s="475"/>
      <c r="AA50" s="475"/>
      <c r="AB50" s="475"/>
      <c r="AC50" s="475"/>
      <c r="AD50" s="475"/>
      <c r="AE50" s="475"/>
      <c r="AF50" s="476"/>
      <c r="AG50" s="376"/>
      <c r="AH50" s="390"/>
    </row>
    <row r="51" spans="1:34">
      <c r="A51" s="116"/>
      <c r="B51" s="346"/>
      <c r="C51" s="360"/>
      <c r="D51" s="360"/>
      <c r="E51" s="361"/>
      <c r="F51" s="362"/>
      <c r="G51" s="361"/>
      <c r="H51" s="347"/>
      <c r="I51" s="347"/>
      <c r="J51" s="347"/>
      <c r="K51" s="347"/>
      <c r="L51" s="347"/>
      <c r="M51" s="347"/>
      <c r="N51" s="347"/>
      <c r="O51" s="347"/>
      <c r="P51" s="347"/>
      <c r="Q51" s="347"/>
      <c r="R51" s="347"/>
      <c r="S51" s="347"/>
      <c r="T51" s="374"/>
      <c r="U51" s="374"/>
      <c r="V51" s="394"/>
      <c r="W51" s="394"/>
      <c r="X51" s="474"/>
      <c r="Y51" s="475"/>
      <c r="Z51" s="475"/>
      <c r="AA51" s="475"/>
      <c r="AB51" s="475"/>
      <c r="AC51" s="475"/>
      <c r="AD51" s="475"/>
      <c r="AE51" s="475"/>
      <c r="AF51" s="476"/>
      <c r="AG51" s="378"/>
      <c r="AH51" s="342"/>
    </row>
    <row r="52" spans="1:34">
      <c r="A52" s="116"/>
      <c r="B52" s="346"/>
      <c r="C52" s="360"/>
      <c r="D52" s="360"/>
      <c r="E52" s="361"/>
      <c r="F52" s="362"/>
      <c r="G52" s="361"/>
      <c r="H52" s="347"/>
      <c r="I52" s="347"/>
      <c r="J52" s="347"/>
      <c r="K52" s="347"/>
      <c r="L52" s="347"/>
      <c r="M52" s="347"/>
      <c r="N52" s="347"/>
      <c r="O52" s="347"/>
      <c r="P52" s="347"/>
      <c r="Q52" s="347"/>
      <c r="R52" s="347"/>
      <c r="S52" s="347"/>
      <c r="T52" s="374"/>
      <c r="U52" s="374"/>
      <c r="V52" s="394"/>
      <c r="W52" s="394"/>
      <c r="X52" s="474"/>
      <c r="Y52" s="475"/>
      <c r="Z52" s="475"/>
      <c r="AA52" s="475"/>
      <c r="AB52" s="475"/>
      <c r="AC52" s="475"/>
      <c r="AD52" s="475"/>
      <c r="AE52" s="475"/>
      <c r="AF52" s="476"/>
      <c r="AG52" s="378"/>
      <c r="AH52" s="342"/>
    </row>
    <row r="53" spans="1:34">
      <c r="A53" s="116"/>
      <c r="B53" s="346"/>
      <c r="C53" s="360" t="s">
        <v>2374</v>
      </c>
      <c r="D53" s="360"/>
      <c r="E53" s="361"/>
      <c r="F53" s="362"/>
      <c r="G53" s="361"/>
      <c r="H53" s="347"/>
      <c r="I53" s="347"/>
      <c r="J53" s="347"/>
      <c r="K53" s="347"/>
      <c r="L53" s="347"/>
      <c r="M53" s="347"/>
      <c r="N53" s="347"/>
      <c r="O53" s="347"/>
      <c r="P53" s="347"/>
      <c r="Q53" s="347"/>
      <c r="R53" s="347"/>
      <c r="S53" s="347"/>
      <c r="T53" s="374"/>
      <c r="U53" s="374"/>
      <c r="V53" s="394"/>
      <c r="W53" s="394"/>
      <c r="X53" s="474"/>
      <c r="Y53" s="475"/>
      <c r="Z53" s="475"/>
      <c r="AA53" s="475"/>
      <c r="AB53" s="475"/>
      <c r="AC53" s="475"/>
      <c r="AD53" s="475"/>
      <c r="AE53" s="475"/>
      <c r="AF53" s="476"/>
      <c r="AG53" s="378"/>
      <c r="AH53" s="342"/>
    </row>
    <row r="54" spans="1:34">
      <c r="A54" s="116"/>
      <c r="B54" s="346"/>
      <c r="C54" s="360"/>
      <c r="D54" s="360"/>
      <c r="E54" s="361"/>
      <c r="F54" s="362"/>
      <c r="G54" s="361"/>
      <c r="H54" s="347"/>
      <c r="I54" s="347"/>
      <c r="J54" s="347"/>
      <c r="K54" s="347"/>
      <c r="L54" s="347"/>
      <c r="M54" s="347"/>
      <c r="N54" s="347"/>
      <c r="O54" s="347"/>
      <c r="P54" s="347"/>
      <c r="Q54" s="347"/>
      <c r="R54" s="347"/>
      <c r="S54" s="347"/>
      <c r="T54" s="374"/>
      <c r="U54" s="374"/>
      <c r="V54" s="394"/>
      <c r="W54" s="394"/>
      <c r="X54" s="474"/>
      <c r="Y54" s="475"/>
      <c r="Z54" s="475"/>
      <c r="AA54" s="475"/>
      <c r="AB54" s="475"/>
      <c r="AC54" s="475"/>
      <c r="AD54" s="475"/>
      <c r="AE54" s="475"/>
      <c r="AF54" s="476"/>
      <c r="AG54" s="378"/>
      <c r="AH54" s="342"/>
    </row>
    <row r="55" spans="1:34">
      <c r="A55" s="116"/>
      <c r="B55" s="346"/>
      <c r="C55" s="360"/>
      <c r="D55" s="360"/>
      <c r="E55" s="361"/>
      <c r="F55" s="362"/>
      <c r="G55" s="361"/>
      <c r="H55" s="347"/>
      <c r="I55" s="347"/>
      <c r="J55" s="347"/>
      <c r="K55" s="347"/>
      <c r="L55" s="347"/>
      <c r="M55" s="347"/>
      <c r="N55" s="347"/>
      <c r="O55" s="347"/>
      <c r="P55" s="347"/>
      <c r="Q55" s="347"/>
      <c r="R55" s="347"/>
      <c r="S55" s="347"/>
      <c r="T55" s="374"/>
      <c r="U55" s="374"/>
      <c r="V55" s="394"/>
      <c r="W55" s="394"/>
      <c r="X55" s="474"/>
      <c r="Y55" s="475"/>
      <c r="Z55" s="475"/>
      <c r="AA55" s="475"/>
      <c r="AB55" s="475"/>
      <c r="AC55" s="475"/>
      <c r="AD55" s="475"/>
      <c r="AE55" s="475"/>
      <c r="AF55" s="476"/>
      <c r="AG55" s="378"/>
      <c r="AH55" s="342"/>
    </row>
    <row r="56" spans="1:34">
      <c r="A56" s="116"/>
      <c r="B56" s="346"/>
      <c r="C56" s="360"/>
      <c r="D56" s="360"/>
      <c r="E56" s="361"/>
      <c r="F56" s="362"/>
      <c r="G56" s="361"/>
      <c r="H56" s="347"/>
      <c r="I56" s="347"/>
      <c r="J56" s="347"/>
      <c r="K56" s="347"/>
      <c r="L56" s="347"/>
      <c r="M56" s="347"/>
      <c r="N56" s="347"/>
      <c r="O56" s="347"/>
      <c r="P56" s="347"/>
      <c r="Q56" s="347"/>
      <c r="R56" s="347"/>
      <c r="S56" s="347"/>
      <c r="T56" s="374"/>
      <c r="U56" s="374"/>
      <c r="V56" s="394"/>
      <c r="W56" s="394"/>
      <c r="X56" s="474"/>
      <c r="Y56" s="475"/>
      <c r="Z56" s="475"/>
      <c r="AA56" s="475"/>
      <c r="AB56" s="475"/>
      <c r="AC56" s="475"/>
      <c r="AD56" s="475"/>
      <c r="AE56" s="475"/>
      <c r="AF56" s="476"/>
      <c r="AG56" s="378"/>
      <c r="AH56" s="342"/>
    </row>
    <row r="57" spans="1:34">
      <c r="A57" s="116"/>
      <c r="B57" s="346"/>
      <c r="C57" s="360"/>
      <c r="D57" s="360"/>
      <c r="E57" s="361"/>
      <c r="F57" s="362"/>
      <c r="G57" s="361"/>
      <c r="H57" s="347"/>
      <c r="I57" s="347"/>
      <c r="J57" s="347"/>
      <c r="K57" s="347"/>
      <c r="L57" s="347"/>
      <c r="M57" s="347"/>
      <c r="N57" s="347"/>
      <c r="O57" s="347"/>
      <c r="P57" s="347"/>
      <c r="Q57" s="347"/>
      <c r="R57" s="347"/>
      <c r="S57" s="347"/>
      <c r="T57" s="374"/>
      <c r="U57" s="374"/>
      <c r="V57" s="394"/>
      <c r="W57" s="394"/>
      <c r="X57" s="474"/>
      <c r="Y57" s="475"/>
      <c r="Z57" s="475"/>
      <c r="AA57" s="475"/>
      <c r="AB57" s="475"/>
      <c r="AC57" s="475"/>
      <c r="AD57" s="475"/>
      <c r="AE57" s="475"/>
      <c r="AF57" s="476"/>
      <c r="AG57" s="378"/>
      <c r="AH57" s="342"/>
    </row>
    <row r="58" spans="1:34">
      <c r="A58" s="116"/>
      <c r="B58" s="346"/>
      <c r="C58" s="360"/>
      <c r="D58" s="360"/>
      <c r="E58" s="361"/>
      <c r="F58" s="362"/>
      <c r="G58" s="361"/>
      <c r="H58" s="347"/>
      <c r="I58" s="347"/>
      <c r="J58" s="347"/>
      <c r="K58" s="347"/>
      <c r="L58" s="347"/>
      <c r="M58" s="347"/>
      <c r="N58" s="347"/>
      <c r="O58" s="347"/>
      <c r="P58" s="347"/>
      <c r="Q58" s="347"/>
      <c r="R58" s="347"/>
      <c r="S58" s="347"/>
      <c r="T58" s="374"/>
      <c r="U58" s="374"/>
      <c r="V58" s="394"/>
      <c r="W58" s="394"/>
      <c r="X58" s="474"/>
      <c r="Y58" s="475"/>
      <c r="Z58" s="475"/>
      <c r="AA58" s="475"/>
      <c r="AB58" s="475"/>
      <c r="AC58" s="475"/>
      <c r="AD58" s="475"/>
      <c r="AE58" s="475"/>
      <c r="AF58" s="476"/>
      <c r="AG58" s="378"/>
      <c r="AH58" s="342"/>
    </row>
    <row r="59" spans="1:34">
      <c r="A59" s="116"/>
      <c r="B59" s="346"/>
      <c r="C59" s="360"/>
      <c r="D59" s="360"/>
      <c r="E59" s="361"/>
      <c r="F59" s="362"/>
      <c r="G59" s="361"/>
      <c r="H59" s="347"/>
      <c r="I59" s="347"/>
      <c r="J59" s="347"/>
      <c r="K59" s="347"/>
      <c r="L59" s="347"/>
      <c r="M59" s="347"/>
      <c r="N59" s="347"/>
      <c r="O59" s="347"/>
      <c r="P59" s="347"/>
      <c r="Q59" s="347"/>
      <c r="R59" s="347"/>
      <c r="S59" s="347"/>
      <c r="T59" s="374"/>
      <c r="U59" s="374"/>
      <c r="V59" s="394"/>
      <c r="W59" s="394"/>
      <c r="X59" s="474"/>
      <c r="Y59" s="475"/>
      <c r="Z59" s="475"/>
      <c r="AA59" s="475"/>
      <c r="AB59" s="475"/>
      <c r="AC59" s="475"/>
      <c r="AD59" s="475"/>
      <c r="AE59" s="475"/>
      <c r="AF59" s="476"/>
      <c r="AG59" s="378"/>
      <c r="AH59" s="342"/>
    </row>
    <row r="60" spans="1:34">
      <c r="A60" s="116"/>
      <c r="B60" s="346"/>
      <c r="C60" s="360"/>
      <c r="D60" s="360"/>
      <c r="E60" s="361"/>
      <c r="F60" s="362"/>
      <c r="G60" s="361"/>
      <c r="H60" s="347"/>
      <c r="I60" s="347"/>
      <c r="J60" s="347"/>
      <c r="K60" s="347"/>
      <c r="L60" s="347"/>
      <c r="M60" s="347"/>
      <c r="N60" s="347"/>
      <c r="O60" s="347"/>
      <c r="P60" s="347"/>
      <c r="Q60" s="347"/>
      <c r="R60" s="347"/>
      <c r="S60" s="347"/>
      <c r="T60" s="374"/>
      <c r="U60" s="374"/>
      <c r="V60" s="394"/>
      <c r="W60" s="394"/>
      <c r="X60" s="474"/>
      <c r="Y60" s="475"/>
      <c r="Z60" s="475"/>
      <c r="AA60" s="475"/>
      <c r="AB60" s="475"/>
      <c r="AC60" s="475"/>
      <c r="AD60" s="475"/>
      <c r="AE60" s="475"/>
      <c r="AF60" s="476"/>
      <c r="AG60" s="378"/>
      <c r="AH60" s="342"/>
    </row>
    <row r="61" spans="1:34">
      <c r="A61" s="116"/>
      <c r="B61" s="346"/>
      <c r="C61" s="360"/>
      <c r="D61" s="360"/>
      <c r="E61" s="361"/>
      <c r="F61" s="362"/>
      <c r="G61" s="361"/>
      <c r="H61" s="347"/>
      <c r="I61" s="347"/>
      <c r="J61" s="347"/>
      <c r="K61" s="347"/>
      <c r="L61" s="347"/>
      <c r="M61" s="347"/>
      <c r="N61" s="347"/>
      <c r="O61" s="347"/>
      <c r="P61" s="347"/>
      <c r="Q61" s="347"/>
      <c r="R61" s="347"/>
      <c r="S61" s="347"/>
      <c r="T61" s="374"/>
      <c r="U61" s="374"/>
      <c r="V61" s="394"/>
      <c r="W61" s="394"/>
      <c r="X61" s="474"/>
      <c r="Y61" s="475"/>
      <c r="Z61" s="475"/>
      <c r="AA61" s="475"/>
      <c r="AB61" s="475"/>
      <c r="AC61" s="475"/>
      <c r="AD61" s="475"/>
      <c r="AE61" s="475"/>
      <c r="AF61" s="476"/>
      <c r="AG61" s="378"/>
      <c r="AH61" s="342"/>
    </row>
    <row r="62" spans="1:34">
      <c r="A62" s="116"/>
      <c r="B62" s="346"/>
      <c r="C62" s="360"/>
      <c r="D62" s="360"/>
      <c r="E62" s="361"/>
      <c r="F62" s="362"/>
      <c r="G62" s="361"/>
      <c r="H62" s="347"/>
      <c r="I62" s="347"/>
      <c r="J62" s="347"/>
      <c r="K62" s="347"/>
      <c r="L62" s="347"/>
      <c r="M62" s="347"/>
      <c r="N62" s="347"/>
      <c r="O62" s="347"/>
      <c r="P62" s="347"/>
      <c r="Q62" s="347"/>
      <c r="R62" s="347"/>
      <c r="S62" s="347"/>
      <c r="T62" s="374"/>
      <c r="U62" s="374"/>
      <c r="V62" s="394"/>
      <c r="W62" s="394"/>
      <c r="X62" s="474"/>
      <c r="Y62" s="475"/>
      <c r="Z62" s="475"/>
      <c r="AA62" s="475"/>
      <c r="AB62" s="475"/>
      <c r="AC62" s="475"/>
      <c r="AD62" s="475"/>
      <c r="AE62" s="475"/>
      <c r="AF62" s="476"/>
      <c r="AG62" s="378"/>
      <c r="AH62" s="342"/>
    </row>
    <row r="63" spans="1:34">
      <c r="A63" s="116"/>
      <c r="B63" s="346"/>
      <c r="C63" s="360"/>
      <c r="D63" s="360"/>
      <c r="E63" s="361"/>
      <c r="F63" s="362"/>
      <c r="G63" s="361"/>
      <c r="H63" s="347"/>
      <c r="I63" s="347"/>
      <c r="J63" s="347"/>
      <c r="K63" s="347"/>
      <c r="L63" s="347"/>
      <c r="M63" s="347"/>
      <c r="N63" s="347"/>
      <c r="O63" s="347"/>
      <c r="P63" s="347"/>
      <c r="Q63" s="347"/>
      <c r="R63" s="347"/>
      <c r="S63" s="347"/>
      <c r="T63" s="374"/>
      <c r="U63" s="374"/>
      <c r="V63" s="394"/>
      <c r="W63" s="394"/>
      <c r="X63" s="474"/>
      <c r="Y63" s="475"/>
      <c r="Z63" s="475"/>
      <c r="AA63" s="475"/>
      <c r="AB63" s="475"/>
      <c r="AC63" s="475"/>
      <c r="AD63" s="475"/>
      <c r="AE63" s="475"/>
      <c r="AF63" s="476"/>
      <c r="AG63" s="378"/>
      <c r="AH63" s="342"/>
    </row>
    <row r="64" spans="1:34">
      <c r="A64" s="116"/>
      <c r="B64" s="346"/>
      <c r="C64" s="360"/>
      <c r="D64" s="360"/>
      <c r="E64" s="361"/>
      <c r="F64" s="362"/>
      <c r="G64" s="361"/>
      <c r="H64" s="347"/>
      <c r="I64" s="347"/>
      <c r="J64" s="347"/>
      <c r="K64" s="347"/>
      <c r="L64" s="347"/>
      <c r="M64" s="347"/>
      <c r="N64" s="347"/>
      <c r="O64" s="347"/>
      <c r="P64" s="347"/>
      <c r="Q64" s="347"/>
      <c r="R64" s="347"/>
      <c r="S64" s="347"/>
      <c r="T64" s="374"/>
      <c r="U64" s="374"/>
      <c r="V64" s="394"/>
      <c r="W64" s="394"/>
      <c r="X64" s="474"/>
      <c r="Y64" s="475"/>
      <c r="Z64" s="475"/>
      <c r="AA64" s="475"/>
      <c r="AB64" s="475"/>
      <c r="AC64" s="475"/>
      <c r="AD64" s="475"/>
      <c r="AE64" s="475"/>
      <c r="AF64" s="476"/>
      <c r="AG64" s="378"/>
      <c r="AH64" s="342"/>
    </row>
    <row r="65" spans="1:34">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77"/>
      <c r="Y65" s="478"/>
      <c r="Z65" s="478"/>
      <c r="AA65" s="478"/>
      <c r="AB65" s="478"/>
      <c r="AC65" s="478"/>
      <c r="AD65" s="478"/>
      <c r="AE65" s="478"/>
      <c r="AF65" s="479"/>
      <c r="AG65" s="348"/>
      <c r="AH65" s="116"/>
    </row>
    <row r="66" spans="1:34">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c r="A68" s="116"/>
      <c r="B68" s="342"/>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c r="A70" s="116"/>
      <c r="B70" s="342"/>
      <c r="C70" s="116"/>
      <c r="D70" s="116"/>
      <c r="E70" s="342"/>
      <c r="F70" s="342"/>
      <c r="G70" s="116"/>
      <c r="H70" s="116"/>
      <c r="I70" s="116"/>
      <c r="J70" s="116"/>
      <c r="K70" s="116"/>
      <c r="L70" s="116"/>
      <c r="M70" s="116"/>
      <c r="N70" s="116"/>
      <c r="O70" s="116"/>
      <c r="P70" s="342"/>
      <c r="Q70" s="116"/>
      <c r="R70" s="116"/>
      <c r="S70" s="116"/>
      <c r="T70" s="116"/>
      <c r="U70" s="116"/>
      <c r="V70" s="116"/>
      <c r="W70" s="116"/>
      <c r="X70" s="116"/>
      <c r="Y70" s="116"/>
      <c r="Z70" s="116"/>
      <c r="AA70" s="116"/>
      <c r="AB70" s="342"/>
      <c r="AC70" s="116"/>
      <c r="AD70" s="116"/>
      <c r="AE70" s="116"/>
      <c r="AF70" s="116"/>
      <c r="AG70" s="342"/>
      <c r="AH70" s="116"/>
    </row>
    <row r="71" spans="1:34" ht="22.2">
      <c r="A71" s="116"/>
      <c r="B71" s="126" t="s">
        <v>1962</v>
      </c>
      <c r="C71" s="116"/>
      <c r="D71" s="116"/>
      <c r="E71" s="116"/>
      <c r="F71" s="116"/>
      <c r="G71" s="128" t="s">
        <v>34</v>
      </c>
      <c r="H71" s="128" t="s">
        <v>54</v>
      </c>
      <c r="I71" s="128" t="s">
        <v>181</v>
      </c>
      <c r="J71" s="128" t="s">
        <v>310</v>
      </c>
      <c r="K71" s="128" t="s">
        <v>26</v>
      </c>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4.9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16"/>
      <c r="B73" s="118"/>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20"/>
      <c r="AH73" s="116"/>
    </row>
    <row r="74" spans="1:34">
      <c r="A74" s="116"/>
      <c r="B74" s="121"/>
      <c r="C74" s="154" t="s">
        <v>606</v>
      </c>
      <c r="G74" s="154" t="s">
        <v>607</v>
      </c>
      <c r="P74" s="129" t="s">
        <v>608</v>
      </c>
      <c r="Q74" s="130"/>
      <c r="R74" s="129"/>
      <c r="S74" s="130"/>
      <c r="T74" s="131">
        <v>45667</v>
      </c>
      <c r="U74" s="131">
        <f>T74+7</f>
        <v>45674</v>
      </c>
      <c r="V74" s="132" t="s">
        <v>609</v>
      </c>
      <c r="X74" s="155" t="s">
        <v>610</v>
      </c>
      <c r="AG74" s="122"/>
      <c r="AH74" s="116"/>
    </row>
    <row r="75" spans="1:34" ht="17.7" customHeight="1">
      <c r="A75" s="116"/>
      <c r="B75" s="121"/>
      <c r="P75" s="25" t="s">
        <v>611</v>
      </c>
      <c r="T75"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f>
        <v>10</v>
      </c>
      <c r="U75"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f>
        <v>10</v>
      </c>
      <c r="V75" s="25">
        <f>U75-T75</f>
        <v>0</v>
      </c>
      <c r="X75" s="451" t="s">
        <v>2013</v>
      </c>
      <c r="Y75" s="452"/>
      <c r="Z75" s="452"/>
      <c r="AA75" s="452"/>
      <c r="AB75" s="452"/>
      <c r="AC75" s="452"/>
      <c r="AD75" s="452"/>
      <c r="AE75" s="452"/>
      <c r="AF75" s="453"/>
      <c r="AG75" s="163"/>
      <c r="AH75" s="116"/>
    </row>
    <row r="76" spans="1:34">
      <c r="A76" s="116"/>
      <c r="B76" s="121"/>
      <c r="P76" s="25" t="s">
        <v>612</v>
      </c>
      <c r="T76" s="25">
        <f>COUNTIFS('2. Status Detalhe Campos FY24'!$H$7:$H$725,'1. Status Resumo FY24'!$P76,'2. Status Detalhe Campos FY24'!$C$7:$C$725,'1. Status Resumo FY24'!$G$71,'2. Status Detalhe Campos FY24'!$D$7:$D$725,"2. Campo")+COUNTIFS('2. Status Detalhe Campos FY24'!$H$7:$H$725,'1. Status Resumo FY24'!$P76,'2. Status Detalhe Campos FY24'!$C$7:$C$725,'1. Status Resumo FY24'!$H$71,'2. Status Detalhe Campos FY24'!$D$7:$D$725,"2. Campo")</f>
        <v>147</v>
      </c>
      <c r="U76" s="25">
        <f>COUNTIFS('2. Status Detalhe Campos FY24'!$G$7:$G$725,'1. Status Resumo FY24'!$P76,'2. Status Detalhe Campos FY24'!$C$7:$C$725,'1. Status Resumo FY24'!$G$71,'2. Status Detalhe Campos FY24'!$D$7:$D$725,"2. Campo")+COUNTIFS('2. Status Detalhe Campos FY24'!$G$7:$G$725,'1. Status Resumo FY24'!$P76,'2. Status Detalhe Campos FY24'!$C$7:$C$725,'1. Status Resumo FY24'!$H$71,'2. Status Detalhe Campos FY24'!$D$7:$D$725,"2. Campo")</f>
        <v>143</v>
      </c>
      <c r="V76" s="25">
        <f t="shared" ref="V76:V83" si="4">U76-T76</f>
        <v>-4</v>
      </c>
      <c r="X76" s="454"/>
      <c r="Y76" s="455"/>
      <c r="Z76" s="455"/>
      <c r="AA76" s="455"/>
      <c r="AB76" s="455"/>
      <c r="AC76" s="455"/>
      <c r="AD76" s="455"/>
      <c r="AE76" s="455"/>
      <c r="AF76" s="456"/>
      <c r="AG76" s="163"/>
      <c r="AH76" s="116"/>
    </row>
    <row r="77" spans="1:34">
      <c r="A77" s="116"/>
      <c r="B77" s="121"/>
      <c r="P77" s="25" t="s">
        <v>1862</v>
      </c>
      <c r="T77" s="25">
        <f>COUNTIFS('2. Status Detalhe Campos FY24'!$H$7:$H$725,'1. Status Resumo FY24'!$P77,'2. Status Detalhe Campos FY24'!$C$7:$C$725,'1. Status Resumo FY24'!$G$71,'2. Status Detalhe Campos FY24'!$D$7:$D$725,"2. Campo")+COUNTIFS('2. Status Detalhe Campos FY24'!$H$7:$H$725,'1. Status Resumo FY24'!$P77,'2. Status Detalhe Campos FY24'!$C$7:$C$725,'1. Status Resumo FY24'!$H$71,'2. Status Detalhe Campos FY24'!$D$7:$D$725,"2. Campo")</f>
        <v>0</v>
      </c>
      <c r="U77" s="25">
        <f>COUNTIFS('2. Status Detalhe Campos FY24'!$G$7:$G$725,'1. Status Resumo FY24'!$P77,'2. Status Detalhe Campos FY24'!$C$7:$C$725,'1. Status Resumo FY24'!$G$71,'2. Status Detalhe Campos FY24'!$D$7:$D$725,"2. Campo")+COUNTIFS('2. Status Detalhe Campos FY24'!$G$7:$G$725,'1. Status Resumo FY24'!$P77,'2. Status Detalhe Campos FY24'!$C$7:$C$725,'1. Status Resumo FY24'!$H$71,'2. Status Detalhe Campos FY24'!$D$7:$D$725,"2. Campo")</f>
        <v>1</v>
      </c>
      <c r="V77" s="25">
        <f t="shared" si="4"/>
        <v>1</v>
      </c>
      <c r="X77" s="454"/>
      <c r="Y77" s="455"/>
      <c r="Z77" s="455"/>
      <c r="AA77" s="455"/>
      <c r="AB77" s="455"/>
      <c r="AC77" s="455"/>
      <c r="AD77" s="455"/>
      <c r="AE77" s="455"/>
      <c r="AF77" s="456"/>
      <c r="AG77" s="163"/>
      <c r="AH77" s="116"/>
    </row>
    <row r="78" spans="1:34">
      <c r="A78" s="116"/>
      <c r="B78" s="121"/>
      <c r="D78" s="432" t="str">
        <f>"# "&amp;U84</f>
        <v># 202</v>
      </c>
      <c r="E78" s="432"/>
      <c r="P78" s="25" t="s">
        <v>1863</v>
      </c>
      <c r="T78"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f>
        <v>0</v>
      </c>
      <c r="U78"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f>
        <v>0</v>
      </c>
      <c r="V78" s="25">
        <f>U78-T78</f>
        <v>0</v>
      </c>
      <c r="X78" s="454"/>
      <c r="Y78" s="455"/>
      <c r="Z78" s="455"/>
      <c r="AA78" s="455"/>
      <c r="AB78" s="455"/>
      <c r="AC78" s="455"/>
      <c r="AD78" s="455"/>
      <c r="AE78" s="455"/>
      <c r="AF78" s="456"/>
      <c r="AG78" s="163"/>
      <c r="AH78" s="116"/>
    </row>
    <row r="79" spans="1:34" ht="17.7" customHeight="1">
      <c r="A79" s="116"/>
      <c r="B79" s="121"/>
      <c r="D79" s="432"/>
      <c r="E79" s="432"/>
      <c r="P79" s="25" t="s">
        <v>613</v>
      </c>
      <c r="T79" s="25">
        <f>COUNTIFS('2. Status Detalhe Campos FY24'!$H$7:$H$725,'1. Status Resumo FY24'!$P79,'2. Status Detalhe Campos FY24'!$C$7:$C$725,'1. Status Resumo FY24'!$G$71,'2. Status Detalhe Campos FY24'!$D$7:$D$725,"2. Campo")+COUNTIFS('2. Status Detalhe Campos FY24'!$H$7:$H$725,'1. Status Resumo FY24'!$P79,'2. Status Detalhe Campos FY24'!$C$7:$C$725,'1. Status Resumo FY24'!$H$71,'2. Status Detalhe Campos FY24'!$D$7:$D$725,"2. Campo")</f>
        <v>0</v>
      </c>
      <c r="U79" s="25">
        <f>COUNTIFS('2. Status Detalhe Campos FY24'!$G$7:$G$725,'1. Status Resumo FY24'!$P79,'2. Status Detalhe Campos FY24'!$C$7:$C$725,'1. Status Resumo FY24'!$G$71,'2. Status Detalhe Campos FY24'!$D$7:$D$725,"2. Campo")+COUNTIFS('2. Status Detalhe Campos FY24'!$G$7:$G$725,'1. Status Resumo FY24'!$P79,'2. Status Detalhe Campos FY24'!$C$7:$C$725,'1. Status Resumo FY24'!$H$71,'2. Status Detalhe Campos FY24'!$D$7:$D$725,"2. Campo")</f>
        <v>0</v>
      </c>
      <c r="V79" s="25">
        <f t="shared" si="4"/>
        <v>0</v>
      </c>
      <c r="X79" s="454"/>
      <c r="Y79" s="455"/>
      <c r="Z79" s="455"/>
      <c r="AA79" s="455"/>
      <c r="AB79" s="455"/>
      <c r="AC79" s="455"/>
      <c r="AD79" s="455"/>
      <c r="AE79" s="455"/>
      <c r="AF79" s="456"/>
      <c r="AG79" s="163"/>
      <c r="AH79" s="116"/>
    </row>
    <row r="80" spans="1:34" ht="17.7" customHeight="1">
      <c r="A80" s="116"/>
      <c r="B80" s="121"/>
      <c r="D80" s="432"/>
      <c r="E80" s="432"/>
      <c r="P80" s="25" t="s">
        <v>614</v>
      </c>
      <c r="T80" s="25">
        <f>COUNTIFS('2. Status Detalhe Campos FY24'!$H$7:$H$725,'1. Status Resumo FY24'!$P80,'2. Status Detalhe Campos FY24'!$C$7:$C$725,'1. Status Resumo FY24'!$G$71,'2. Status Detalhe Campos FY24'!$D$7:$D$725,"2. Campo")+COUNTIFS('2. Status Detalhe Campos FY24'!$H$7:$H$725,'1. Status Resumo FY24'!$P80,'2. Status Detalhe Campos FY24'!$C$7:$C$725,'1. Status Resumo FY24'!$H$71,'2. Status Detalhe Campos FY24'!$D$7:$D$725,"2. Campo")</f>
        <v>11</v>
      </c>
      <c r="U80" s="25">
        <f>COUNTIFS('2. Status Detalhe Campos FY24'!$G$7:$G$725,'1. Status Resumo FY24'!$P80,'2. Status Detalhe Campos FY24'!$C$7:$C$725,'1. Status Resumo FY24'!$G$71,'2. Status Detalhe Campos FY24'!$D$7:$D$725,"2. Campo")+COUNTIFS('2. Status Detalhe Campos FY24'!$G$7:$G$725,'1. Status Resumo FY24'!$P80,'2. Status Detalhe Campos FY24'!$C$7:$C$725,'1. Status Resumo FY24'!$H$71,'2. Status Detalhe Campos FY24'!$D$7:$D$725,"2. Campo")</f>
        <v>0</v>
      </c>
      <c r="V80" s="25">
        <f t="shared" si="4"/>
        <v>-11</v>
      </c>
      <c r="X80" s="454"/>
      <c r="Y80" s="455"/>
      <c r="Z80" s="455"/>
      <c r="AA80" s="455"/>
      <c r="AB80" s="455"/>
      <c r="AC80" s="455"/>
      <c r="AD80" s="455"/>
      <c r="AE80" s="455"/>
      <c r="AF80" s="456"/>
      <c r="AG80" s="163"/>
      <c r="AH80" s="116"/>
    </row>
    <row r="81" spans="1:34">
      <c r="A81" s="116"/>
      <c r="B81" s="121"/>
      <c r="P81" s="25" t="s">
        <v>615</v>
      </c>
      <c r="R81" s="25" t="s">
        <v>616</v>
      </c>
      <c r="T81"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f>
        <v>0</v>
      </c>
      <c r="U81"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f>
        <v>0</v>
      </c>
      <c r="V81" s="25">
        <f t="shared" si="4"/>
        <v>0</v>
      </c>
      <c r="X81" s="454"/>
      <c r="Y81" s="455"/>
      <c r="Z81" s="455"/>
      <c r="AA81" s="455"/>
      <c r="AB81" s="455"/>
      <c r="AC81" s="455"/>
      <c r="AD81" s="455"/>
      <c r="AE81" s="455"/>
      <c r="AF81" s="456"/>
      <c r="AG81" s="163"/>
      <c r="AH81" s="116"/>
    </row>
    <row r="82" spans="1:34">
      <c r="A82" s="116"/>
      <c r="B82" s="121"/>
      <c r="P82" s="25" t="s">
        <v>617</v>
      </c>
      <c r="T82" s="25">
        <f>COUNTIFS('2. Status Detalhe Campos FY24'!$H$7:$H$725,'1. Status Resumo FY24'!$P82,'2. Status Detalhe Campos FY24'!$C$7:$C$725,'1. Status Resumo FY24'!$G$71,'2. Status Detalhe Campos FY24'!$D$7:$D$725,"2. Campo")+COUNTIFS('2. Status Detalhe Campos FY24'!$H$7:$H$725,'1. Status Resumo FY24'!$P82,'2. Status Detalhe Campos FY24'!$C$7:$C$725,'1. Status Resumo FY24'!$H$71,'2. Status Detalhe Campos FY24'!$D$7:$D$725,"2. Campo")</f>
        <v>0</v>
      </c>
      <c r="U82" s="25">
        <f>COUNTIFS('2. Status Detalhe Campos FY24'!$G$7:$G$725,'1. Status Resumo FY24'!$P82,'2. Status Detalhe Campos FY24'!$C$7:$C$725,'1. Status Resumo FY24'!$G$71,'2. Status Detalhe Campos FY24'!$D$7:$D$725,"2. Campo")+COUNTIFS('2. Status Detalhe Campos FY24'!$G$7:$G$725,'1. Status Resumo FY24'!$P82,'2. Status Detalhe Campos FY24'!$C$7:$C$725,'1. Status Resumo FY24'!$H$71,'2. Status Detalhe Campos FY24'!$D$7:$D$725,"2. Campo")</f>
        <v>48</v>
      </c>
      <c r="V82" s="25">
        <f t="shared" si="4"/>
        <v>48</v>
      </c>
      <c r="X82" s="454"/>
      <c r="Y82" s="455"/>
      <c r="Z82" s="455"/>
      <c r="AA82" s="455"/>
      <c r="AB82" s="455"/>
      <c r="AC82" s="455"/>
      <c r="AD82" s="455"/>
      <c r="AE82" s="455"/>
      <c r="AF82" s="456"/>
      <c r="AG82" s="163"/>
      <c r="AH82" s="116"/>
    </row>
    <row r="83" spans="1:34">
      <c r="A83" s="116"/>
      <c r="B83" s="121"/>
      <c r="P83" s="25" t="s">
        <v>28</v>
      </c>
      <c r="T83" s="25">
        <f>COUNTIFS('2. Status Detalhe Campos FY24'!$H$7:$H$725,'1. Status Resumo FY24'!$P83,'2. Status Detalhe Campos FY24'!$C$7:$C$725,'1. Status Resumo FY24'!$G$71,'2. Status Detalhe Campos FY24'!$D$7:$D$725,"2. Campo")+COUNTIFS('2. Status Detalhe Campos FY24'!$H$7:$H$725,'1. Status Resumo FY24'!$P83,'2. Status Detalhe Campos FY24'!$C$7:$C$725,'1. Status Resumo FY24'!$H$71,'2. Status Detalhe Campos FY24'!$D$7:$D$725,"2. Campo")</f>
        <v>0</v>
      </c>
      <c r="U83" s="25">
        <f>COUNTIFS('2. Status Detalhe Campos FY24'!$G$7:$G$725,'1. Status Resumo FY24'!$P83,'2. Status Detalhe Campos FY24'!$C$7:$C$725,'1. Status Resumo FY24'!$G$71,'2. Status Detalhe Campos FY24'!$D$7:$D$725,"2. Campo")+COUNTIFS('2. Status Detalhe Campos FY24'!$G$7:$G$725,'1. Status Resumo FY24'!$P83,'2. Status Detalhe Campos FY24'!$C$7:$C$725,'1. Status Resumo FY24'!$H$71,'2. Status Detalhe Campos FY24'!$D$7:$D$725,"2. Campo")</f>
        <v>0</v>
      </c>
      <c r="V83" s="25">
        <f t="shared" si="4"/>
        <v>0</v>
      </c>
      <c r="X83" s="454"/>
      <c r="Y83" s="455"/>
      <c r="Z83" s="455"/>
      <c r="AA83" s="455"/>
      <c r="AB83" s="455"/>
      <c r="AC83" s="455"/>
      <c r="AD83" s="455"/>
      <c r="AE83" s="455"/>
      <c r="AF83" s="456"/>
      <c r="AG83" s="163"/>
      <c r="AH83" s="116"/>
    </row>
    <row r="84" spans="1:34">
      <c r="A84" s="116"/>
      <c r="B84" s="121"/>
      <c r="T84" s="127">
        <f>SUM(T75:T83)</f>
        <v>168</v>
      </c>
      <c r="U84" s="127">
        <f>SUM(U75:U83)</f>
        <v>202</v>
      </c>
      <c r="X84" s="454"/>
      <c r="Y84" s="455"/>
      <c r="Z84" s="455"/>
      <c r="AA84" s="455"/>
      <c r="AB84" s="455"/>
      <c r="AC84" s="455"/>
      <c r="AD84" s="455"/>
      <c r="AE84" s="455"/>
      <c r="AF84" s="456"/>
      <c r="AG84" s="163"/>
      <c r="AH84" s="116"/>
    </row>
    <row r="85" spans="1:34">
      <c r="A85" s="116"/>
      <c r="B85" s="121"/>
      <c r="G85" s="129" t="s">
        <v>618</v>
      </c>
      <c r="H85" s="130"/>
      <c r="I85" s="130"/>
      <c r="J85" s="130"/>
      <c r="K85" s="130"/>
      <c r="L85" s="130"/>
      <c r="M85" s="130"/>
      <c r="P85" s="129" t="s">
        <v>619</v>
      </c>
      <c r="Q85" s="130"/>
      <c r="R85" s="130"/>
      <c r="S85" s="130"/>
      <c r="T85" s="130"/>
      <c r="U85" s="130"/>
      <c r="V85" s="130"/>
      <c r="X85" s="454"/>
      <c r="Y85" s="455"/>
      <c r="Z85" s="455"/>
      <c r="AA85" s="455"/>
      <c r="AB85" s="455"/>
      <c r="AC85" s="455"/>
      <c r="AD85" s="455"/>
      <c r="AE85" s="455"/>
      <c r="AF85" s="456"/>
      <c r="AG85" s="163"/>
      <c r="AH85" s="116"/>
    </row>
    <row r="86" spans="1:34">
      <c r="A86" s="116"/>
      <c r="B86" s="121"/>
      <c r="F86" s="159" t="s">
        <v>620</v>
      </c>
      <c r="G86" s="25" t="s">
        <v>621</v>
      </c>
      <c r="L86" s="161" t="s">
        <v>622</v>
      </c>
      <c r="O86" s="159" t="s">
        <v>620</v>
      </c>
      <c r="P86" s="25" t="s">
        <v>623</v>
      </c>
      <c r="T86" s="161" t="s">
        <v>622</v>
      </c>
      <c r="X86" s="454"/>
      <c r="Y86" s="455"/>
      <c r="Z86" s="455"/>
      <c r="AA86" s="455"/>
      <c r="AB86" s="455"/>
      <c r="AC86" s="455"/>
      <c r="AD86" s="455"/>
      <c r="AE86" s="455"/>
      <c r="AF86" s="456"/>
      <c r="AG86" s="163"/>
      <c r="AH86" s="116"/>
    </row>
    <row r="87" spans="1:34">
      <c r="A87" s="116"/>
      <c r="B87" s="121"/>
      <c r="F87" s="159" t="s">
        <v>620</v>
      </c>
      <c r="G87" s="25" t="s">
        <v>624</v>
      </c>
      <c r="L87" s="161" t="s">
        <v>622</v>
      </c>
      <c r="O87" s="159" t="s">
        <v>620</v>
      </c>
      <c r="P87" s="25" t="s">
        <v>625</v>
      </c>
      <c r="T87" s="161" t="s">
        <v>622</v>
      </c>
      <c r="X87" s="454"/>
      <c r="Y87" s="455"/>
      <c r="Z87" s="455"/>
      <c r="AA87" s="455"/>
      <c r="AB87" s="455"/>
      <c r="AC87" s="455"/>
      <c r="AD87" s="455"/>
      <c r="AE87" s="455"/>
      <c r="AF87" s="456"/>
      <c r="AG87" s="163"/>
      <c r="AH87" s="116"/>
    </row>
    <row r="88" spans="1:34">
      <c r="A88" s="116"/>
      <c r="B88" s="121"/>
      <c r="F88" s="159" t="s">
        <v>620</v>
      </c>
      <c r="G88" s="25" t="s">
        <v>626</v>
      </c>
      <c r="L88" s="161" t="s">
        <v>622</v>
      </c>
      <c r="O88" s="159" t="s">
        <v>620</v>
      </c>
      <c r="P88" s="25" t="s">
        <v>627</v>
      </c>
      <c r="T88" s="164" t="s">
        <v>628</v>
      </c>
      <c r="X88" s="454"/>
      <c r="Y88" s="455"/>
      <c r="Z88" s="455"/>
      <c r="AA88" s="455"/>
      <c r="AB88" s="455"/>
      <c r="AC88" s="455"/>
      <c r="AD88" s="455"/>
      <c r="AE88" s="455"/>
      <c r="AF88" s="456"/>
      <c r="AG88" s="163"/>
      <c r="AH88" s="116"/>
    </row>
    <row r="89" spans="1:34">
      <c r="A89" s="116"/>
      <c r="B89" s="121"/>
      <c r="F89" s="159" t="s">
        <v>620</v>
      </c>
      <c r="G89" s="25" t="s">
        <v>629</v>
      </c>
      <c r="L89" s="161" t="s">
        <v>622</v>
      </c>
      <c r="O89" s="159"/>
      <c r="T89" s="164"/>
      <c r="X89" s="454"/>
      <c r="Y89" s="455"/>
      <c r="Z89" s="455"/>
      <c r="AA89" s="455"/>
      <c r="AB89" s="455"/>
      <c r="AC89" s="455"/>
      <c r="AD89" s="455"/>
      <c r="AE89" s="455"/>
      <c r="AF89" s="456"/>
      <c r="AG89" s="163"/>
      <c r="AH89" s="116"/>
    </row>
    <row r="90" spans="1:34">
      <c r="A90" s="116"/>
      <c r="B90" s="121"/>
      <c r="F90" s="159" t="s">
        <v>620</v>
      </c>
      <c r="G90" s="25" t="s">
        <v>630</v>
      </c>
      <c r="L90" s="381" t="s">
        <v>1991</v>
      </c>
      <c r="O90" s="159"/>
      <c r="T90" s="164"/>
      <c r="X90" s="454"/>
      <c r="Y90" s="455"/>
      <c r="Z90" s="455"/>
      <c r="AA90" s="455"/>
      <c r="AB90" s="455"/>
      <c r="AC90" s="455"/>
      <c r="AD90" s="455"/>
      <c r="AE90" s="455"/>
      <c r="AF90" s="456"/>
      <c r="AG90" s="163"/>
      <c r="AH90" s="116"/>
    </row>
    <row r="91" spans="1:34">
      <c r="A91" s="116"/>
      <c r="B91" s="121"/>
      <c r="F91" s="159" t="s">
        <v>620</v>
      </c>
      <c r="G91" s="25" t="s">
        <v>631</v>
      </c>
      <c r="L91" s="381" t="s">
        <v>1991</v>
      </c>
      <c r="O91" s="159"/>
      <c r="T91" s="161"/>
      <c r="X91" s="454"/>
      <c r="Y91" s="455"/>
      <c r="Z91" s="455"/>
      <c r="AA91" s="455"/>
      <c r="AB91" s="455"/>
      <c r="AC91" s="455"/>
      <c r="AD91" s="455"/>
      <c r="AE91" s="455"/>
      <c r="AF91" s="456"/>
      <c r="AG91" s="163"/>
      <c r="AH91" s="116"/>
    </row>
    <row r="92" spans="1:34">
      <c r="A92" s="116"/>
      <c r="B92" s="121"/>
      <c r="O92" s="159"/>
      <c r="X92" s="457"/>
      <c r="Y92" s="458"/>
      <c r="Z92" s="458"/>
      <c r="AA92" s="458"/>
      <c r="AB92" s="458"/>
      <c r="AC92" s="458"/>
      <c r="AD92" s="458"/>
      <c r="AE92" s="458"/>
      <c r="AF92" s="459"/>
      <c r="AG92" s="163"/>
      <c r="AH92" s="116"/>
    </row>
    <row r="93" spans="1:34">
      <c r="A93" s="116"/>
      <c r="B93" s="123"/>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16"/>
    </row>
    <row r="94" spans="1:34">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22.2">
      <c r="A95" s="116"/>
      <c r="B95" s="126" t="s">
        <v>1960</v>
      </c>
      <c r="C95" s="116"/>
      <c r="D95" s="116"/>
      <c r="E95" s="116"/>
      <c r="F95" s="116"/>
      <c r="G95" s="128" t="s">
        <v>181</v>
      </c>
      <c r="H95" s="128" t="s">
        <v>310</v>
      </c>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4.9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16"/>
      <c r="B97" s="118"/>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20"/>
      <c r="AH97" s="116"/>
    </row>
    <row r="98" spans="1:34">
      <c r="A98" s="116"/>
      <c r="B98" s="121"/>
      <c r="C98" s="154" t="s">
        <v>606</v>
      </c>
      <c r="G98" s="154" t="s">
        <v>607</v>
      </c>
      <c r="P98" s="129" t="s">
        <v>608</v>
      </c>
      <c r="Q98" s="130"/>
      <c r="R98" s="129"/>
      <c r="S98" s="130"/>
      <c r="T98" s="131">
        <f>T74</f>
        <v>45667</v>
      </c>
      <c r="U98" s="131">
        <f>U74</f>
        <v>45674</v>
      </c>
      <c r="V98" s="132" t="s">
        <v>609</v>
      </c>
      <c r="X98" s="155" t="s">
        <v>610</v>
      </c>
      <c r="AG98" s="122"/>
      <c r="AH98" s="116"/>
    </row>
    <row r="99" spans="1:34" ht="17.7" customHeight="1">
      <c r="A99" s="116"/>
      <c r="B99" s="121"/>
      <c r="P99" s="25" t="s">
        <v>611</v>
      </c>
      <c r="T99" s="25">
        <f>COUNTIFS('2. Status Detalhe Campos FY24'!$H$7:$H$725,'1. Status Resumo FY24'!$P99,'2. Status Detalhe Campos FY24'!$C$7:$C$725,'1. Status Resumo FY24'!$G$95,'2. Status Detalhe Campos FY24'!$D$7:$D$725,"2. Campo")+COUNTIFS('2. Status Detalhe Campos FY24'!$H$7:$H$725,'1. Status Resumo FY24'!$P99,'2. Status Detalhe Campos FY24'!$C$7:$C$725,'1. Status Resumo FY24'!$H$95,'2. Status Detalhe Campos FY24'!$D$7:$D$725,"2. Campo")</f>
        <v>14</v>
      </c>
      <c r="U99" s="25">
        <f>COUNTIFS('2. Status Detalhe Campos FY24'!$G$7:$G$725,'1. Status Resumo FY24'!$P99,'2. Status Detalhe Campos FY24'!$C$7:$C$725,'1. Status Resumo FY24'!$G$95,'2. Status Detalhe Campos FY24'!$D$7:$D$725,"2. Campo")+COUNTIFS('2. Status Detalhe Campos FY24'!$G$7:$G$725,'1. Status Resumo FY24'!$P99,'2. Status Detalhe Campos FY24'!$C$7:$C$725,'1. Status Resumo FY24'!$H$95,'2. Status Detalhe Campos FY24'!$D$7:$D$725,"2. Campo")</f>
        <v>12</v>
      </c>
      <c r="V99" s="25">
        <f>U99-T99</f>
        <v>-2</v>
      </c>
      <c r="W99" s="156"/>
      <c r="X99" s="442" t="s">
        <v>2011</v>
      </c>
      <c r="Y99" s="443"/>
      <c r="Z99" s="443"/>
      <c r="AA99" s="443"/>
      <c r="AB99" s="443"/>
      <c r="AC99" s="443"/>
      <c r="AD99" s="443"/>
      <c r="AE99" s="443"/>
      <c r="AF99" s="444"/>
      <c r="AG99" s="157" t="s">
        <v>632</v>
      </c>
      <c r="AH99" s="116"/>
    </row>
    <row r="100" spans="1:34">
      <c r="A100" s="116"/>
      <c r="B100" s="121"/>
      <c r="P100" s="25" t="s">
        <v>612</v>
      </c>
      <c r="T100" s="25">
        <f>COUNTIFS('2. Status Detalhe Campos FY24'!$H$7:$H$725,'1. Status Resumo FY24'!$P100,'2. Status Detalhe Campos FY24'!$C$7:$C$725,'1. Status Resumo FY24'!$G$95,'2. Status Detalhe Campos FY24'!$D$7:$D$725,"2. Campo")+COUNTIFS('2. Status Detalhe Campos FY24'!$H$7:$H$725,'1. Status Resumo FY24'!$P100,'2. Status Detalhe Campos FY24'!$C$7:$C$725,'1. Status Resumo FY24'!$H$95,'2. Status Detalhe Campos FY24'!$D$7:$D$725,"2. Campo")</f>
        <v>204</v>
      </c>
      <c r="U100" s="25">
        <f>COUNTIFS('2. Status Detalhe Campos FY24'!$G$7:$G$725,'1. Status Resumo FY24'!$P100,'2. Status Detalhe Campos FY24'!$C$7:$C$725,'1. Status Resumo FY24'!$G$95,'2. Status Detalhe Campos FY24'!$D$7:$D$725,"2. Campo")+COUNTIFS('2. Status Detalhe Campos FY24'!$G$7:$G$725,'1. Status Resumo FY24'!$P100,'2. Status Detalhe Campos FY24'!$C$7:$C$725,'1. Status Resumo FY24'!$H$95,'2. Status Detalhe Campos FY24'!$D$7:$D$725,"2. Campo")</f>
        <v>207</v>
      </c>
      <c r="V100" s="25">
        <f t="shared" ref="V100:V107" si="5">U100-T100</f>
        <v>3</v>
      </c>
      <c r="W100" s="156"/>
      <c r="X100" s="445"/>
      <c r="Y100" s="446"/>
      <c r="Z100" s="446"/>
      <c r="AA100" s="446"/>
      <c r="AB100" s="446"/>
      <c r="AC100" s="446"/>
      <c r="AD100" s="446"/>
      <c r="AE100" s="446"/>
      <c r="AF100" s="447"/>
      <c r="AG100" s="157"/>
      <c r="AH100" s="116"/>
    </row>
    <row r="101" spans="1:34">
      <c r="A101" s="116"/>
      <c r="B101" s="121"/>
      <c r="P101" s="25" t="s">
        <v>1862</v>
      </c>
      <c r="T101" s="25">
        <f>COUNTIFS('2. Status Detalhe Campos FY24'!$H$7:$H$725,'1. Status Resumo FY24'!$P101,'2. Status Detalhe Campos FY24'!$C$7:$C$725,'1. Status Resumo FY24'!$G$95,'2. Status Detalhe Campos FY24'!$D$7:$D$725,"2. Campo")+COUNTIFS('2. Status Detalhe Campos FY24'!$H$7:$H$725,'1. Status Resumo FY24'!$P101,'2. Status Detalhe Campos FY24'!$C$7:$C$725,'1. Status Resumo FY24'!$H$95,'2. Status Detalhe Campos FY24'!$D$7:$D$725,"2. Campo")</f>
        <v>3</v>
      </c>
      <c r="U101" s="25">
        <f>COUNTIFS('2. Status Detalhe Campos FY24'!$G$7:$G$725,'1. Status Resumo FY24'!$P101,'2. Status Detalhe Campos FY24'!$C$7:$C$725,'1. Status Resumo FY24'!$G$95,'2. Status Detalhe Campos FY24'!$D$7:$D$725,"2. Campo")+COUNTIFS('2. Status Detalhe Campos FY24'!$G$7:$G$725,'1. Status Resumo FY24'!$P101,'2. Status Detalhe Campos FY24'!$C$7:$C$725,'1. Status Resumo FY24'!$H$95,'2. Status Detalhe Campos FY24'!$D$7:$D$725,"2. Campo")</f>
        <v>0</v>
      </c>
      <c r="V101" s="25">
        <f t="shared" si="5"/>
        <v>-3</v>
      </c>
      <c r="W101" s="156"/>
      <c r="X101" s="445"/>
      <c r="Y101" s="446"/>
      <c r="Z101" s="446"/>
      <c r="AA101" s="446"/>
      <c r="AB101" s="446"/>
      <c r="AC101" s="446"/>
      <c r="AD101" s="446"/>
      <c r="AE101" s="446"/>
      <c r="AF101" s="447"/>
      <c r="AG101" s="157"/>
      <c r="AH101" s="116"/>
    </row>
    <row r="102" spans="1:34">
      <c r="A102" s="116"/>
      <c r="B102" s="121"/>
      <c r="D102" s="432" t="str">
        <f>"# "&amp;U108</f>
        <v># 292</v>
      </c>
      <c r="E102" s="432"/>
      <c r="P102" s="25" t="s">
        <v>1863</v>
      </c>
      <c r="T102" s="25">
        <f>COUNTIFS('2. Status Detalhe Campos FY24'!$H$7:$H$725,'1. Status Resumo FY24'!$P102,'2. Status Detalhe Campos FY24'!$C$7:$C$725,'1. Status Resumo FY24'!$G$95,'2. Status Detalhe Campos FY24'!$D$7:$D$725,"2. Campo")+COUNTIFS('2. Status Detalhe Campos FY24'!$H$7:$H$725,'1. Status Resumo FY24'!$P102,'2. Status Detalhe Campos FY24'!$C$7:$C$725,'1. Status Resumo FY24'!$H$95,'2. Status Detalhe Campos FY24'!$D$7:$D$725,"2. Campo")</f>
        <v>18</v>
      </c>
      <c r="U102" s="25">
        <f>COUNTIFS('2. Status Detalhe Campos FY24'!$G$7:$G$725,'1. Status Resumo FY24'!$P102,'2. Status Detalhe Campos FY24'!$C$7:$C$725,'1. Status Resumo FY24'!$G$95,'2. Status Detalhe Campos FY24'!$D$7:$D$725,"2. Campo")+COUNTIFS('2. Status Detalhe Campos FY24'!$G$7:$G$725,'1. Status Resumo FY24'!$P102,'2. Status Detalhe Campos FY24'!$C$7:$C$725,'1. Status Resumo FY24'!$H$95,'2. Status Detalhe Campos FY24'!$D$7:$D$725,"2. Campo")</f>
        <v>7</v>
      </c>
      <c r="V102" s="25">
        <f>U102-T102</f>
        <v>-11</v>
      </c>
      <c r="W102" s="156"/>
      <c r="X102" s="445"/>
      <c r="Y102" s="446"/>
      <c r="Z102" s="446"/>
      <c r="AA102" s="446"/>
      <c r="AB102" s="446"/>
      <c r="AC102" s="446"/>
      <c r="AD102" s="446"/>
      <c r="AE102" s="446"/>
      <c r="AF102" s="447"/>
      <c r="AG102" s="157"/>
      <c r="AH102" s="116"/>
    </row>
    <row r="103" spans="1:34" ht="17.7" customHeight="1">
      <c r="A103" s="116"/>
      <c r="B103" s="121"/>
      <c r="D103" s="432"/>
      <c r="E103" s="432"/>
      <c r="P103" s="25" t="s">
        <v>613</v>
      </c>
      <c r="T103" s="25">
        <f>COUNTIFS('2. Status Detalhe Campos FY24'!$H$7:$H$725,'1. Status Resumo FY24'!$P103,'2. Status Detalhe Campos FY24'!$C$7:$C$725,'1. Status Resumo FY24'!$G$95,'2. Status Detalhe Campos FY24'!$D$7:$D$725,"2. Campo")+COUNTIFS('2. Status Detalhe Campos FY24'!$H$7:$H$725,'1. Status Resumo FY24'!$P103,'2. Status Detalhe Campos FY24'!$C$7:$C$725,'1. Status Resumo FY24'!$H$95,'2. Status Detalhe Campos FY24'!$D$7:$D$725,"2. Campo")</f>
        <v>0</v>
      </c>
      <c r="U103" s="25">
        <f>COUNTIFS('2. Status Detalhe Campos FY24'!$G$7:$G$725,'1. Status Resumo FY24'!$P103,'2. Status Detalhe Campos FY24'!$C$7:$C$725,'1. Status Resumo FY24'!$G$95,'2. Status Detalhe Campos FY24'!$D$7:$D$725,"2. Campo")+COUNTIFS('2. Status Detalhe Campos FY24'!$G$7:$G$725,'1. Status Resumo FY24'!$P103,'2. Status Detalhe Campos FY24'!$C$7:$C$725,'1. Status Resumo FY24'!$H$95,'2. Status Detalhe Campos FY24'!$D$7:$D$725,"2. Campo")</f>
        <v>6</v>
      </c>
      <c r="V103" s="25">
        <f t="shared" si="5"/>
        <v>6</v>
      </c>
      <c r="W103" s="156"/>
      <c r="X103" s="445"/>
      <c r="Y103" s="446"/>
      <c r="Z103" s="446"/>
      <c r="AA103" s="446"/>
      <c r="AB103" s="446"/>
      <c r="AC103" s="446"/>
      <c r="AD103" s="446"/>
      <c r="AE103" s="446"/>
      <c r="AF103" s="447"/>
      <c r="AG103" s="157"/>
      <c r="AH103" s="116"/>
    </row>
    <row r="104" spans="1:34" ht="17.7" customHeight="1">
      <c r="A104" s="116"/>
      <c r="B104" s="121"/>
      <c r="D104" s="432"/>
      <c r="E104" s="432"/>
      <c r="P104" s="25" t="s">
        <v>614</v>
      </c>
      <c r="T104" s="25">
        <f>COUNTIFS('2. Status Detalhe Campos FY24'!$H$7:$H$725,'1. Status Resumo FY24'!$P104,'2. Status Detalhe Campos FY24'!$C$7:$C$725,'1. Status Resumo FY24'!$G$95,'2. Status Detalhe Campos FY24'!$D$7:$D$725,"2. Campo")+COUNTIFS('2. Status Detalhe Campos FY24'!$H$7:$H$725,'1. Status Resumo FY24'!$P104,'2. Status Detalhe Campos FY24'!$C$7:$C$725,'1. Status Resumo FY24'!$H$95,'2. Status Detalhe Campos FY24'!$D$7:$D$725,"2. Campo")</f>
        <v>1</v>
      </c>
      <c r="U104" s="25">
        <f>COUNTIFS('2. Status Detalhe Campos FY24'!$G$7:$G$725,'1. Status Resumo FY24'!$P104,'2. Status Detalhe Campos FY24'!$C$7:$C$725,'1. Status Resumo FY24'!$G$95,'2. Status Detalhe Campos FY24'!$D$7:$D$725,"2. Campo")+COUNTIFS('2. Status Detalhe Campos FY24'!$G$7:$G$725,'1. Status Resumo FY24'!$P104,'2. Status Detalhe Campos FY24'!$C$7:$C$725,'1. Status Resumo FY24'!$H$95,'2. Status Detalhe Campos FY24'!$D$7:$D$725,"2. Campo")</f>
        <v>55</v>
      </c>
      <c r="V104" s="25">
        <f t="shared" si="5"/>
        <v>54</v>
      </c>
      <c r="W104" s="156"/>
      <c r="X104" s="445"/>
      <c r="Y104" s="446"/>
      <c r="Z104" s="446"/>
      <c r="AA104" s="446"/>
      <c r="AB104" s="446"/>
      <c r="AC104" s="446"/>
      <c r="AD104" s="446"/>
      <c r="AE104" s="446"/>
      <c r="AF104" s="447"/>
      <c r="AG104" s="157"/>
      <c r="AH104" s="116"/>
    </row>
    <row r="105" spans="1:34" ht="17.7" customHeight="1">
      <c r="A105" s="116"/>
      <c r="B105" s="121"/>
      <c r="P105" s="25" t="s">
        <v>615</v>
      </c>
      <c r="R105" s="25" t="s">
        <v>616</v>
      </c>
      <c r="T105" s="25">
        <f>COUNTIFS('2. Status Detalhe Campos FY24'!$H$7:$H$725,'1. Status Resumo FY24'!$P105,'2. Status Detalhe Campos FY24'!$C$7:$C$725,'1. Status Resumo FY24'!$G$95,'2. Status Detalhe Campos FY24'!$D$7:$D$725,"2. Campo")+COUNTIFS('2. Status Detalhe Campos FY24'!$H$7:$H$725,'1. Status Resumo FY24'!$P105,'2. Status Detalhe Campos FY24'!$C$7:$C$725,'1. Status Resumo FY24'!$H$95,'2. Status Detalhe Campos FY24'!$D$7:$D$725,"2. Campo")</f>
        <v>0</v>
      </c>
      <c r="U105" s="25">
        <f>COUNTIFS('2. Status Detalhe Campos FY24'!$G$7:$G$725,'1. Status Resumo FY24'!$P105,'2. Status Detalhe Campos FY24'!$C$7:$C$725,'1. Status Resumo FY24'!$G$95,'2. Status Detalhe Campos FY24'!$D$7:$D$725,"2. Campo")+COUNTIFS('2. Status Detalhe Campos FY24'!$G$7:$G$725,'1. Status Resumo FY24'!$P105,'2. Status Detalhe Campos FY24'!$C$7:$C$725,'1. Status Resumo FY24'!$H$95,'2. Status Detalhe Campos FY24'!$D$7:$D$725,"2. Campo")</f>
        <v>0</v>
      </c>
      <c r="V105" s="25">
        <f t="shared" si="5"/>
        <v>0</v>
      </c>
      <c r="W105" s="156"/>
      <c r="X105" s="445"/>
      <c r="Y105" s="446"/>
      <c r="Z105" s="446"/>
      <c r="AA105" s="446"/>
      <c r="AB105" s="446"/>
      <c r="AC105" s="446"/>
      <c r="AD105" s="446"/>
      <c r="AE105" s="446"/>
      <c r="AF105" s="447"/>
      <c r="AG105" s="157"/>
      <c r="AH105" s="116"/>
    </row>
    <row r="106" spans="1:34">
      <c r="A106" s="116"/>
      <c r="B106" s="121"/>
      <c r="P106" s="25" t="s">
        <v>617</v>
      </c>
      <c r="T106" s="25">
        <f>COUNTIFS('2. Status Detalhe Campos FY24'!$H$7:$H$725,'1. Status Resumo FY24'!$P106,'2. Status Detalhe Campos FY24'!$C$7:$C$725,'1. Status Resumo FY24'!$G$95,'2. Status Detalhe Campos FY24'!$D$7:$D$725,"2. Campo")+COUNTIFS('2. Status Detalhe Campos FY24'!$H$7:$H$725,'1. Status Resumo FY24'!$P106,'2. Status Detalhe Campos FY24'!$C$7:$C$725,'1. Status Resumo FY24'!$H$95,'2. Status Detalhe Campos FY24'!$D$7:$D$725,"2. Campo")</f>
        <v>6</v>
      </c>
      <c r="U106" s="25">
        <f>COUNTIFS('2. Status Detalhe Campos FY24'!$G$7:$G$725,'1. Status Resumo FY24'!$P106,'2. Status Detalhe Campos FY24'!$C$7:$C$725,'1. Status Resumo FY24'!$G$95,'2. Status Detalhe Campos FY24'!$D$7:$D$725,"2. Campo")+COUNTIFS('2. Status Detalhe Campos FY24'!$G$7:$G$725,'1. Status Resumo FY24'!$P106,'2. Status Detalhe Campos FY24'!$C$7:$C$725,'1. Status Resumo FY24'!$H$95,'2. Status Detalhe Campos FY24'!$D$7:$D$725,"2. Campo")</f>
        <v>0</v>
      </c>
      <c r="V106" s="25">
        <f t="shared" si="5"/>
        <v>-6</v>
      </c>
      <c r="X106" s="445"/>
      <c r="Y106" s="446"/>
      <c r="Z106" s="446"/>
      <c r="AA106" s="446"/>
      <c r="AB106" s="446"/>
      <c r="AC106" s="446"/>
      <c r="AD106" s="446"/>
      <c r="AE106" s="446"/>
      <c r="AF106" s="447"/>
      <c r="AG106" s="157"/>
      <c r="AH106" s="116"/>
    </row>
    <row r="107" spans="1:34">
      <c r="A107" s="116"/>
      <c r="B107" s="121"/>
      <c r="P107" s="25" t="s">
        <v>28</v>
      </c>
      <c r="T107" s="25">
        <f>COUNTIFS('2. Status Detalhe Campos FY24'!$H$7:$H$725,'1. Status Resumo FY24'!$P107,'2. Status Detalhe Campos FY24'!$C$7:$C$725,'1. Status Resumo FY24'!$G$95,'2. Status Detalhe Campos FY24'!$D$7:$D$725,"2. Campo")+COUNTIFS('2. Status Detalhe Campos FY24'!$H$7:$H$725,'1. Status Resumo FY24'!$P107,'2. Status Detalhe Campos FY24'!$C$7:$C$725,'1. Status Resumo FY24'!$H$95,'2. Status Detalhe Campos FY24'!$D$7:$D$725,"2. Campo")</f>
        <v>0</v>
      </c>
      <c r="U107" s="25">
        <f>COUNTIFS('2. Status Detalhe Campos FY24'!$G$7:$G$725,'1. Status Resumo FY24'!$P107,'2. Status Detalhe Campos FY24'!$C$7:$C$725,'1. Status Resumo FY24'!$G$95,'2. Status Detalhe Campos FY24'!$D$7:$D$725,"2. Campo")+COUNTIFS('2. Status Detalhe Campos FY24'!$G$7:$G$725,'1. Status Resumo FY24'!$P107,'2. Status Detalhe Campos FY24'!$C$7:$C$725,'1. Status Resumo FY24'!$H$95,'2. Status Detalhe Campos FY24'!$D$7:$D$725,"2. Campo")</f>
        <v>5</v>
      </c>
      <c r="V107" s="25">
        <f t="shared" si="5"/>
        <v>5</v>
      </c>
      <c r="X107" s="445"/>
      <c r="Y107" s="446"/>
      <c r="Z107" s="446"/>
      <c r="AA107" s="446"/>
      <c r="AB107" s="446"/>
      <c r="AC107" s="446"/>
      <c r="AD107" s="446"/>
      <c r="AE107" s="446"/>
      <c r="AF107" s="447"/>
      <c r="AG107" s="157"/>
      <c r="AH107" s="116"/>
    </row>
    <row r="108" spans="1:34">
      <c r="A108" s="116"/>
      <c r="B108" s="121"/>
      <c r="T108" s="127">
        <f>SUM(T99:T107)</f>
        <v>246</v>
      </c>
      <c r="U108" s="127">
        <f>SUM(U99:U107)</f>
        <v>292</v>
      </c>
      <c r="X108" s="445"/>
      <c r="Y108" s="446"/>
      <c r="Z108" s="446"/>
      <c r="AA108" s="446"/>
      <c r="AB108" s="446"/>
      <c r="AC108" s="446"/>
      <c r="AD108" s="446"/>
      <c r="AE108" s="446"/>
      <c r="AF108" s="447"/>
      <c r="AG108" s="157"/>
      <c r="AH108" s="116"/>
    </row>
    <row r="109" spans="1:34">
      <c r="A109" s="116"/>
      <c r="B109" s="121"/>
      <c r="X109" s="445"/>
      <c r="Y109" s="446"/>
      <c r="Z109" s="446"/>
      <c r="AA109" s="446"/>
      <c r="AB109" s="446"/>
      <c r="AC109" s="446"/>
      <c r="AD109" s="446"/>
      <c r="AE109" s="446"/>
      <c r="AF109" s="447"/>
      <c r="AG109" s="157"/>
      <c r="AH109" s="116"/>
    </row>
    <row r="110" spans="1:34">
      <c r="A110" s="116"/>
      <c r="B110" s="121"/>
      <c r="P110" s="129" t="s">
        <v>633</v>
      </c>
      <c r="Q110" s="130"/>
      <c r="R110" s="130"/>
      <c r="S110" s="130"/>
      <c r="T110" s="130"/>
      <c r="U110" s="130"/>
      <c r="V110" s="130"/>
      <c r="X110" s="445"/>
      <c r="Y110" s="446"/>
      <c r="Z110" s="446"/>
      <c r="AA110" s="446"/>
      <c r="AB110" s="446"/>
      <c r="AC110" s="446"/>
      <c r="AD110" s="446"/>
      <c r="AE110" s="446"/>
      <c r="AF110" s="447"/>
      <c r="AG110" s="157"/>
      <c r="AH110" s="116"/>
    </row>
    <row r="111" spans="1:34">
      <c r="A111" s="116"/>
      <c r="B111" s="121"/>
      <c r="O111" s="159" t="s">
        <v>620</v>
      </c>
      <c r="P111" s="25" t="s">
        <v>216</v>
      </c>
      <c r="T111" s="161" t="s">
        <v>622</v>
      </c>
      <c r="X111" s="445"/>
      <c r="Y111" s="446"/>
      <c r="Z111" s="446"/>
      <c r="AA111" s="446"/>
      <c r="AB111" s="446"/>
      <c r="AC111" s="446"/>
      <c r="AD111" s="446"/>
      <c r="AE111" s="446"/>
      <c r="AF111" s="447"/>
      <c r="AG111" s="157"/>
      <c r="AH111" s="116"/>
    </row>
    <row r="112" spans="1:34">
      <c r="A112" s="116"/>
      <c r="B112" s="121"/>
      <c r="O112" s="159" t="s">
        <v>620</v>
      </c>
      <c r="P112" s="25" t="s">
        <v>215</v>
      </c>
      <c r="T112" s="161" t="s">
        <v>622</v>
      </c>
      <c r="X112" s="445"/>
      <c r="Y112" s="446"/>
      <c r="Z112" s="446"/>
      <c r="AA112" s="446"/>
      <c r="AB112" s="446"/>
      <c r="AC112" s="446"/>
      <c r="AD112" s="446"/>
      <c r="AE112" s="446"/>
      <c r="AF112" s="447"/>
      <c r="AG112" s="157"/>
      <c r="AH112" s="116"/>
    </row>
    <row r="113" spans="1:34">
      <c r="A113" s="116"/>
      <c r="B113" s="121"/>
      <c r="O113" s="159" t="s">
        <v>620</v>
      </c>
      <c r="P113" s="25" t="s">
        <v>213</v>
      </c>
      <c r="T113" s="161" t="s">
        <v>622</v>
      </c>
      <c r="X113" s="445"/>
      <c r="Y113" s="446"/>
      <c r="Z113" s="446"/>
      <c r="AA113" s="446"/>
      <c r="AB113" s="446"/>
      <c r="AC113" s="446"/>
      <c r="AD113" s="446"/>
      <c r="AE113" s="446"/>
      <c r="AF113" s="447"/>
      <c r="AG113" s="157"/>
      <c r="AH113" s="116"/>
    </row>
    <row r="114" spans="1:34">
      <c r="A114" s="116"/>
      <c r="B114" s="121"/>
      <c r="O114" s="159" t="s">
        <v>620</v>
      </c>
      <c r="P114" s="25" t="s">
        <v>212</v>
      </c>
      <c r="T114" s="161" t="s">
        <v>622</v>
      </c>
      <c r="X114" s="445"/>
      <c r="Y114" s="446"/>
      <c r="Z114" s="446"/>
      <c r="AA114" s="446"/>
      <c r="AB114" s="446"/>
      <c r="AC114" s="446"/>
      <c r="AD114" s="446"/>
      <c r="AE114" s="446"/>
      <c r="AF114" s="447"/>
      <c r="AG114" s="157"/>
      <c r="AH114" s="116"/>
    </row>
    <row r="115" spans="1:34">
      <c r="A115" s="116"/>
      <c r="B115" s="121"/>
      <c r="O115" s="159" t="s">
        <v>620</v>
      </c>
      <c r="P115" s="25" t="s">
        <v>217</v>
      </c>
      <c r="T115" s="161" t="s">
        <v>622</v>
      </c>
      <c r="X115" s="445"/>
      <c r="Y115" s="446"/>
      <c r="Z115" s="446"/>
      <c r="AA115" s="446"/>
      <c r="AB115" s="446"/>
      <c r="AC115" s="446"/>
      <c r="AD115" s="446"/>
      <c r="AE115" s="446"/>
      <c r="AF115" s="447"/>
      <c r="AG115" s="157"/>
      <c r="AH115" s="116"/>
    </row>
    <row r="116" spans="1:34">
      <c r="A116" s="116"/>
      <c r="B116" s="121"/>
      <c r="O116" s="159" t="s">
        <v>620</v>
      </c>
      <c r="P116" s="25" t="s">
        <v>218</v>
      </c>
      <c r="T116" s="161" t="s">
        <v>622</v>
      </c>
      <c r="X116" s="445"/>
      <c r="Y116" s="446"/>
      <c r="Z116" s="446"/>
      <c r="AA116" s="446"/>
      <c r="AB116" s="446"/>
      <c r="AC116" s="446"/>
      <c r="AD116" s="446"/>
      <c r="AE116" s="446"/>
      <c r="AF116" s="447"/>
      <c r="AG116" s="157"/>
      <c r="AH116" s="116"/>
    </row>
    <row r="117" spans="1:34">
      <c r="A117" s="116"/>
      <c r="B117" s="121"/>
      <c r="O117" s="159" t="s">
        <v>620</v>
      </c>
      <c r="P117" s="25" t="s">
        <v>219</v>
      </c>
      <c r="T117" s="161" t="s">
        <v>622</v>
      </c>
      <c r="X117" s="445"/>
      <c r="Y117" s="446"/>
      <c r="Z117" s="446"/>
      <c r="AA117" s="446"/>
      <c r="AB117" s="446"/>
      <c r="AC117" s="446"/>
      <c r="AD117" s="446"/>
      <c r="AE117" s="446"/>
      <c r="AF117" s="447"/>
      <c r="AG117" s="157"/>
      <c r="AH117" s="116"/>
    </row>
    <row r="118" spans="1:34">
      <c r="A118" s="116"/>
      <c r="B118" s="121"/>
      <c r="O118" s="159" t="s">
        <v>620</v>
      </c>
      <c r="P118" s="25" t="s">
        <v>214</v>
      </c>
      <c r="T118" s="161" t="s">
        <v>622</v>
      </c>
      <c r="X118" s="445"/>
      <c r="Y118" s="446"/>
      <c r="Z118" s="446"/>
      <c r="AA118" s="446"/>
      <c r="AB118" s="446"/>
      <c r="AC118" s="446"/>
      <c r="AD118" s="446"/>
      <c r="AE118" s="446"/>
      <c r="AF118" s="447"/>
      <c r="AG118" s="157"/>
      <c r="AH118" s="116"/>
    </row>
    <row r="119" spans="1:34">
      <c r="A119" s="116"/>
      <c r="B119" s="121"/>
      <c r="O119" s="159" t="s">
        <v>620</v>
      </c>
      <c r="P119" s="25" t="s">
        <v>182</v>
      </c>
      <c r="T119" s="249" t="s">
        <v>1942</v>
      </c>
      <c r="X119" s="445"/>
      <c r="Y119" s="446"/>
      <c r="Z119" s="446"/>
      <c r="AA119" s="446"/>
      <c r="AB119" s="446"/>
      <c r="AC119" s="446"/>
      <c r="AD119" s="446"/>
      <c r="AE119" s="446"/>
      <c r="AF119" s="447"/>
      <c r="AG119" s="157"/>
      <c r="AH119" s="116"/>
    </row>
    <row r="120" spans="1:34">
      <c r="A120" s="116"/>
      <c r="B120" s="121"/>
      <c r="O120" s="159" t="s">
        <v>620</v>
      </c>
      <c r="P120" s="174" t="s">
        <v>634</v>
      </c>
      <c r="T120" s="165" t="s">
        <v>635</v>
      </c>
      <c r="X120" s="445"/>
      <c r="Y120" s="446"/>
      <c r="Z120" s="446"/>
      <c r="AA120" s="446"/>
      <c r="AB120" s="446"/>
      <c r="AC120" s="446"/>
      <c r="AD120" s="446"/>
      <c r="AE120" s="446"/>
      <c r="AF120" s="447"/>
      <c r="AG120" s="157"/>
      <c r="AH120" s="116"/>
    </row>
    <row r="121" spans="1:34">
      <c r="A121" s="116"/>
      <c r="B121" s="121"/>
      <c r="P121" s="158"/>
      <c r="X121" s="445"/>
      <c r="Y121" s="446"/>
      <c r="Z121" s="446"/>
      <c r="AA121" s="446"/>
      <c r="AB121" s="446"/>
      <c r="AC121" s="446"/>
      <c r="AD121" s="446"/>
      <c r="AE121" s="446"/>
      <c r="AF121" s="447"/>
      <c r="AG121" s="157"/>
      <c r="AH121" s="116"/>
    </row>
    <row r="122" spans="1:34">
      <c r="A122" s="116"/>
      <c r="B122" s="121"/>
      <c r="P122" s="129" t="s">
        <v>636</v>
      </c>
      <c r="Q122" s="130"/>
      <c r="R122" s="130"/>
      <c r="S122" s="130"/>
      <c r="T122" s="130"/>
      <c r="U122" s="130"/>
      <c r="V122" s="130"/>
      <c r="X122" s="445"/>
      <c r="Y122" s="446"/>
      <c r="Z122" s="446"/>
      <c r="AA122" s="446"/>
      <c r="AB122" s="446"/>
      <c r="AC122" s="446"/>
      <c r="AD122" s="446"/>
      <c r="AE122" s="446"/>
      <c r="AF122" s="447"/>
      <c r="AG122" s="157"/>
      <c r="AH122" s="116"/>
    </row>
    <row r="123" spans="1:34">
      <c r="A123" s="116"/>
      <c r="B123" s="121"/>
      <c r="O123" s="159" t="s">
        <v>620</v>
      </c>
      <c r="P123" s="25" t="s">
        <v>637</v>
      </c>
      <c r="T123" s="161" t="s">
        <v>622</v>
      </c>
      <c r="X123" s="445"/>
      <c r="Y123" s="446"/>
      <c r="Z123" s="446"/>
      <c r="AA123" s="446"/>
      <c r="AB123" s="446"/>
      <c r="AC123" s="446"/>
      <c r="AD123" s="446"/>
      <c r="AE123" s="446"/>
      <c r="AF123" s="447"/>
      <c r="AG123" s="157"/>
      <c r="AH123" s="116"/>
    </row>
    <row r="124" spans="1:34">
      <c r="A124" s="116"/>
      <c r="B124" s="121"/>
      <c r="O124" s="159" t="s">
        <v>620</v>
      </c>
      <c r="P124" s="25" t="s">
        <v>311</v>
      </c>
      <c r="T124" s="161" t="s">
        <v>638</v>
      </c>
      <c r="X124" s="445"/>
      <c r="Y124" s="446"/>
      <c r="Z124" s="446"/>
      <c r="AA124" s="446"/>
      <c r="AB124" s="446"/>
      <c r="AC124" s="446"/>
      <c r="AD124" s="446"/>
      <c r="AE124" s="446"/>
      <c r="AF124" s="447"/>
      <c r="AG124" s="157"/>
      <c r="AH124" s="116"/>
    </row>
    <row r="125" spans="1:34">
      <c r="A125" s="116"/>
      <c r="B125" s="121"/>
      <c r="O125" s="159" t="s">
        <v>620</v>
      </c>
      <c r="P125" s="25" t="s">
        <v>325</v>
      </c>
      <c r="T125" s="161" t="s">
        <v>622</v>
      </c>
      <c r="X125" s="445"/>
      <c r="Y125" s="446"/>
      <c r="Z125" s="446"/>
      <c r="AA125" s="446"/>
      <c r="AB125" s="446"/>
      <c r="AC125" s="446"/>
      <c r="AD125" s="446"/>
      <c r="AE125" s="446"/>
      <c r="AF125" s="447"/>
      <c r="AG125" s="157"/>
      <c r="AH125" s="116"/>
    </row>
    <row r="126" spans="1:34">
      <c r="A126" s="116"/>
      <c r="B126" s="121"/>
      <c r="O126" s="159" t="s">
        <v>620</v>
      </c>
      <c r="P126" s="25" t="s">
        <v>333</v>
      </c>
      <c r="T126" s="249" t="s">
        <v>1942</v>
      </c>
      <c r="X126" s="445"/>
      <c r="Y126" s="446"/>
      <c r="Z126" s="446"/>
      <c r="AA126" s="446"/>
      <c r="AB126" s="446"/>
      <c r="AC126" s="446"/>
      <c r="AD126" s="446"/>
      <c r="AE126" s="446"/>
      <c r="AF126" s="447"/>
      <c r="AG126" s="157"/>
      <c r="AH126" s="116"/>
    </row>
    <row r="127" spans="1:34">
      <c r="A127" s="116"/>
      <c r="B127" s="121"/>
      <c r="O127" s="159"/>
      <c r="T127" s="160"/>
      <c r="X127" s="448"/>
      <c r="Y127" s="449"/>
      <c r="Z127" s="449"/>
      <c r="AA127" s="449"/>
      <c r="AB127" s="449"/>
      <c r="AC127" s="449"/>
      <c r="AD127" s="449"/>
      <c r="AE127" s="449"/>
      <c r="AF127" s="450"/>
      <c r="AG127" s="157"/>
      <c r="AH127" s="116"/>
    </row>
    <row r="128" spans="1:34">
      <c r="A128" s="116"/>
      <c r="B128" s="123"/>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5"/>
      <c r="AH128" s="116"/>
    </row>
    <row r="129" spans="1:34">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22.2">
      <c r="A130" s="116"/>
      <c r="B130" s="126" t="s">
        <v>1961</v>
      </c>
      <c r="C130" s="116"/>
      <c r="D130" s="116"/>
      <c r="E130" s="116"/>
      <c r="F130" s="116"/>
      <c r="G130" s="128" t="s">
        <v>26</v>
      </c>
      <c r="H130" s="128"/>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4.9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16"/>
      <c r="B132" s="118"/>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20"/>
      <c r="AH132" s="116"/>
    </row>
    <row r="133" spans="1:34">
      <c r="A133" s="116"/>
      <c r="B133" s="121"/>
      <c r="C133" s="154" t="s">
        <v>606</v>
      </c>
      <c r="G133" s="154" t="s">
        <v>607</v>
      </c>
      <c r="P133" s="129" t="s">
        <v>608</v>
      </c>
      <c r="Q133" s="130"/>
      <c r="R133" s="129"/>
      <c r="S133" s="130"/>
      <c r="T133" s="131">
        <f>T74</f>
        <v>45667</v>
      </c>
      <c r="U133" s="131">
        <f>U74</f>
        <v>45674</v>
      </c>
      <c r="V133" s="132" t="s">
        <v>609</v>
      </c>
      <c r="X133" s="155" t="s">
        <v>610</v>
      </c>
      <c r="AG133" s="122"/>
      <c r="AH133" s="116"/>
    </row>
    <row r="134" spans="1:34" ht="18" customHeight="1">
      <c r="A134" s="116"/>
      <c r="B134" s="121"/>
      <c r="P134" s="25" t="s">
        <v>611</v>
      </c>
      <c r="T134" s="25">
        <f>COUNTIFS(Table4[Status Anterior],'1. Status Resumo FY24'!$P134,Table4[Sub-âmbito],'1. Status Resumo FY24'!$G$130,Table4[Tipo de teste],"2. Campo")</f>
        <v>0</v>
      </c>
      <c r="U134" s="25">
        <f>COUNTIFS(Table4[Status Atual],'1. Status Resumo FY24'!$P134,Table4[Sub-âmbito],'1. Status Resumo FY24'!$G$130,Table4[Tipo de teste],"2. Campo")</f>
        <v>4</v>
      </c>
      <c r="V134" s="25">
        <f>U134-T134</f>
        <v>4</v>
      </c>
      <c r="X134" s="460" t="s">
        <v>2005</v>
      </c>
      <c r="Y134" s="461"/>
      <c r="Z134" s="461"/>
      <c r="AA134" s="461"/>
      <c r="AB134" s="461"/>
      <c r="AC134" s="461"/>
      <c r="AD134" s="461"/>
      <c r="AE134" s="461"/>
      <c r="AF134" s="461"/>
      <c r="AG134" s="162"/>
      <c r="AH134" s="116"/>
    </row>
    <row r="135" spans="1:34">
      <c r="A135" s="116"/>
      <c r="B135" s="121"/>
      <c r="P135" s="25" t="s">
        <v>612</v>
      </c>
      <c r="T135" s="25">
        <f>COUNTIFS(Table4[Status Anterior],'1. Status Resumo FY24'!$P135,Table4[Sub-âmbito],'1. Status Resumo FY24'!$G$130,Table4[Tipo de teste],"2. Campo")</f>
        <v>120</v>
      </c>
      <c r="U135" s="25">
        <f>COUNTIFS(Table4[Status Atual],'1. Status Resumo FY24'!$P135,Table4[Sub-âmbito],'1. Status Resumo FY24'!$G$130,Table4[Tipo de teste],"2. Campo")</f>
        <v>136</v>
      </c>
      <c r="V135" s="25">
        <f t="shared" ref="V135:V142" si="6">U135-T135</f>
        <v>16</v>
      </c>
      <c r="X135" s="461"/>
      <c r="Y135" s="461"/>
      <c r="Z135" s="461"/>
      <c r="AA135" s="461"/>
      <c r="AB135" s="461"/>
      <c r="AC135" s="461"/>
      <c r="AD135" s="461"/>
      <c r="AE135" s="461"/>
      <c r="AF135" s="461"/>
      <c r="AG135" s="162"/>
      <c r="AH135" s="116"/>
    </row>
    <row r="136" spans="1:34">
      <c r="A136" s="116"/>
      <c r="B136" s="121"/>
      <c r="P136" s="25" t="s">
        <v>1862</v>
      </c>
      <c r="T136" s="25">
        <f>COUNTIFS(Table4[Status Anterior],'1. Status Resumo FY24'!$P136,Table4[Sub-âmbito],'1. Status Resumo FY24'!$G$130,Table4[Tipo de teste],"2. Campo")</f>
        <v>3</v>
      </c>
      <c r="U136" s="25">
        <f>COUNTIFS(Table4[Status Atual],'1. Status Resumo FY24'!$P136,Table4[Sub-âmbito],'1. Status Resumo FY24'!$G$130,Table4[Tipo de teste],"2. Campo")</f>
        <v>0</v>
      </c>
      <c r="V136" s="25">
        <f t="shared" si="6"/>
        <v>-3</v>
      </c>
      <c r="X136" s="461"/>
      <c r="Y136" s="461"/>
      <c r="Z136" s="461"/>
      <c r="AA136" s="461"/>
      <c r="AB136" s="461"/>
      <c r="AC136" s="461"/>
      <c r="AD136" s="461"/>
      <c r="AE136" s="461"/>
      <c r="AF136" s="461"/>
      <c r="AG136" s="162"/>
      <c r="AH136" s="116"/>
    </row>
    <row r="137" spans="1:34" ht="17.7" customHeight="1">
      <c r="A137" s="116"/>
      <c r="B137" s="121"/>
      <c r="D137" s="432" t="str">
        <f>"# "&amp;U143</f>
        <v># 206</v>
      </c>
      <c r="E137" s="432"/>
      <c r="P137" s="25" t="s">
        <v>1863</v>
      </c>
      <c r="T137" s="25">
        <f>COUNTIFS(Table4[Status Anterior],'1. Status Resumo FY24'!$P137,Table4[Sub-âmbito],'1. Status Resumo FY24'!$G$130,Table4[Tipo de teste],"2. Campo")</f>
        <v>0</v>
      </c>
      <c r="U137" s="25">
        <f>COUNTIFS(Table4[Status Atual],'1. Status Resumo FY24'!$P137,Table4[Sub-âmbito],'1. Status Resumo FY24'!$G$130,Table4[Tipo de teste],"2. Campo")</f>
        <v>1</v>
      </c>
      <c r="V137" s="25">
        <f>U137-T137</f>
        <v>1</v>
      </c>
      <c r="X137" s="461"/>
      <c r="Y137" s="461"/>
      <c r="Z137" s="461"/>
      <c r="AA137" s="461"/>
      <c r="AB137" s="461"/>
      <c r="AC137" s="461"/>
      <c r="AD137" s="461"/>
      <c r="AE137" s="461"/>
      <c r="AF137" s="461"/>
      <c r="AG137" s="162"/>
      <c r="AH137" s="116"/>
    </row>
    <row r="138" spans="1:34" ht="17.7" customHeight="1">
      <c r="A138" s="116"/>
      <c r="B138" s="121"/>
      <c r="D138" s="432"/>
      <c r="E138" s="432"/>
      <c r="P138" s="25" t="s">
        <v>613</v>
      </c>
      <c r="T138" s="25">
        <f>COUNTIFS(Table4[Status Anterior],'1. Status Resumo FY24'!$P138,Table4[Sub-âmbito],'1. Status Resumo FY24'!$G$130,Table4[Tipo de teste],"2. Campo")</f>
        <v>10</v>
      </c>
      <c r="U138" s="25">
        <f>COUNTIFS(Table4[Status Atual],'1. Status Resumo FY24'!$P138,Table4[Sub-âmbito],'1. Status Resumo FY24'!$G$130,Table4[Tipo de teste],"2. Campo")</f>
        <v>9</v>
      </c>
      <c r="V138" s="25">
        <f t="shared" si="6"/>
        <v>-1</v>
      </c>
      <c r="X138" s="461"/>
      <c r="Y138" s="461"/>
      <c r="Z138" s="461"/>
      <c r="AA138" s="461"/>
      <c r="AB138" s="461"/>
      <c r="AC138" s="461"/>
      <c r="AD138" s="461"/>
      <c r="AE138" s="461"/>
      <c r="AF138" s="461"/>
      <c r="AG138" s="162"/>
      <c r="AH138" s="116"/>
    </row>
    <row r="139" spans="1:34" ht="17.7" customHeight="1">
      <c r="A139" s="116"/>
      <c r="B139" s="121"/>
      <c r="D139" s="432"/>
      <c r="E139" s="432"/>
      <c r="P139" s="25" t="s">
        <v>614</v>
      </c>
      <c r="T139" s="25">
        <f>COUNTIFS(Table4[Status Anterior],'1. Status Resumo FY24'!$P139,Table4[Sub-âmbito],'1. Status Resumo FY24'!$G$130,Table4[Tipo de teste],"2. Campo")</f>
        <v>2</v>
      </c>
      <c r="U139" s="25">
        <f>COUNTIFS(Table4[Status Atual],'1. Status Resumo FY24'!$P139,Table4[Sub-âmbito],'1. Status Resumo FY24'!$G$130,Table4[Tipo de teste],"2. Campo")</f>
        <v>1</v>
      </c>
      <c r="V139" s="25">
        <f t="shared" si="6"/>
        <v>-1</v>
      </c>
      <c r="X139" s="461"/>
      <c r="Y139" s="461"/>
      <c r="Z139" s="461"/>
      <c r="AA139" s="461"/>
      <c r="AB139" s="461"/>
      <c r="AC139" s="461"/>
      <c r="AD139" s="461"/>
      <c r="AE139" s="461"/>
      <c r="AF139" s="461"/>
      <c r="AG139" s="162"/>
      <c r="AH139" s="116"/>
    </row>
    <row r="140" spans="1:34">
      <c r="A140" s="116"/>
      <c r="B140" s="121"/>
      <c r="D140" s="432"/>
      <c r="E140" s="432"/>
      <c r="P140" s="25" t="s">
        <v>615</v>
      </c>
      <c r="R140" s="25" t="s">
        <v>616</v>
      </c>
      <c r="T140" s="25">
        <f>COUNTIFS(Table4[Status Anterior],'1. Status Resumo FY24'!$P140,Table4[Sub-âmbito],'1. Status Resumo FY24'!$G$130,Table4[Tipo de teste],"2. Campo")</f>
        <v>1</v>
      </c>
      <c r="U140" s="25">
        <f>COUNTIFS(Table4[Status Atual],'1. Status Resumo FY24'!$P140,Table4[Sub-âmbito],'1. Status Resumo FY24'!$G$130,Table4[Tipo de teste],"2. Campo")</f>
        <v>3</v>
      </c>
      <c r="V140" s="25">
        <f t="shared" si="6"/>
        <v>2</v>
      </c>
      <c r="X140" s="461"/>
      <c r="Y140" s="461"/>
      <c r="Z140" s="461"/>
      <c r="AA140" s="461"/>
      <c r="AB140" s="461"/>
      <c r="AC140" s="461"/>
      <c r="AD140" s="461"/>
      <c r="AE140" s="461"/>
      <c r="AF140" s="461"/>
      <c r="AG140" s="162"/>
      <c r="AH140" s="116"/>
    </row>
    <row r="141" spans="1:34">
      <c r="A141" s="116"/>
      <c r="B141" s="121"/>
      <c r="D141" s="432"/>
      <c r="E141" s="432"/>
      <c r="P141" s="25" t="s">
        <v>617</v>
      </c>
      <c r="T141" s="25">
        <f>COUNTIFS(Table4[Status Anterior],'1. Status Resumo FY24'!$P141,Table4[Sub-âmbito],'1. Status Resumo FY24'!$G$130,Table4[Tipo de teste],"2. Campo")</f>
        <v>0</v>
      </c>
      <c r="U141" s="25">
        <f>COUNTIFS(Table4[Status Atual],'1. Status Resumo FY24'!$P141,Table4[Sub-âmbito],'1. Status Resumo FY24'!$G$130,Table4[Tipo de teste],"2. Campo")</f>
        <v>0</v>
      </c>
      <c r="V141" s="25">
        <f>U141-T141</f>
        <v>0</v>
      </c>
      <c r="X141" s="461"/>
      <c r="Y141" s="461"/>
      <c r="Z141" s="461"/>
      <c r="AA141" s="461"/>
      <c r="AB141" s="461"/>
      <c r="AC141" s="461"/>
      <c r="AD141" s="461"/>
      <c r="AE141" s="461"/>
      <c r="AF141" s="461"/>
      <c r="AG141" s="162"/>
      <c r="AH141" s="116"/>
    </row>
    <row r="142" spans="1:34">
      <c r="A142" s="116"/>
      <c r="B142" s="121"/>
      <c r="P142" s="25" t="s">
        <v>28</v>
      </c>
      <c r="T142" s="25">
        <f>COUNTIFS(Table4[Status Anterior],'1. Status Resumo FY24'!$P142,Table4[Sub-âmbito],'1. Status Resumo FY24'!$G$130,Table4[Tipo de teste],"2. Campo")</f>
        <v>0</v>
      </c>
      <c r="U142" s="25">
        <f>COUNTIFS(Table4[Status Atual],'1. Status Resumo FY24'!$P142,Table4[Sub-âmbito],'1. Status Resumo FY24'!$G$130,Table4[Tipo de teste],"2. Campo")</f>
        <v>52</v>
      </c>
      <c r="V142" s="25">
        <f t="shared" si="6"/>
        <v>52</v>
      </c>
      <c r="X142" s="461"/>
      <c r="Y142" s="461"/>
      <c r="Z142" s="461"/>
      <c r="AA142" s="461"/>
      <c r="AB142" s="461"/>
      <c r="AC142" s="461"/>
      <c r="AD142" s="461"/>
      <c r="AE142" s="461"/>
      <c r="AF142" s="461"/>
      <c r="AG142" s="162"/>
      <c r="AH142" s="116"/>
    </row>
    <row r="143" spans="1:34">
      <c r="A143" s="116"/>
      <c r="B143" s="121"/>
      <c r="T143" s="127">
        <f>SUM(T134:T142)</f>
        <v>136</v>
      </c>
      <c r="U143" s="127">
        <f>SUM(U134:U142)</f>
        <v>206</v>
      </c>
      <c r="X143" s="461"/>
      <c r="Y143" s="461"/>
      <c r="Z143" s="461"/>
      <c r="AA143" s="461"/>
      <c r="AB143" s="461"/>
      <c r="AC143" s="461"/>
      <c r="AD143" s="461"/>
      <c r="AE143" s="461"/>
      <c r="AF143" s="461"/>
      <c r="AG143" s="162"/>
      <c r="AH143" s="116"/>
    </row>
    <row r="144" spans="1:34">
      <c r="A144" s="116"/>
      <c r="B144" s="121"/>
      <c r="T144" s="127"/>
      <c r="U144" s="127"/>
      <c r="X144" s="461"/>
      <c r="Y144" s="461"/>
      <c r="Z144" s="461"/>
      <c r="AA144" s="461"/>
      <c r="AB144" s="461"/>
      <c r="AC144" s="461"/>
      <c r="AD144" s="461"/>
      <c r="AE144" s="461"/>
      <c r="AF144" s="461"/>
      <c r="AG144" s="162"/>
      <c r="AH144" s="116"/>
    </row>
    <row r="145" spans="1:34">
      <c r="A145" s="116"/>
      <c r="B145" s="121"/>
      <c r="P145" s="129" t="s">
        <v>618</v>
      </c>
      <c r="Q145" s="130"/>
      <c r="R145" s="130"/>
      <c r="S145" s="130"/>
      <c r="T145" s="130"/>
      <c r="U145" s="130"/>
      <c r="V145" s="130"/>
      <c r="X145" s="461"/>
      <c r="Y145" s="461"/>
      <c r="Z145" s="461"/>
      <c r="AA145" s="461"/>
      <c r="AB145" s="461"/>
      <c r="AC145" s="461"/>
      <c r="AD145" s="461"/>
      <c r="AE145" s="461"/>
      <c r="AF145" s="461"/>
      <c r="AG145" s="162"/>
      <c r="AH145" s="116"/>
    </row>
    <row r="146" spans="1:34">
      <c r="A146" s="116"/>
      <c r="B146" s="121"/>
      <c r="O146" s="159" t="s">
        <v>620</v>
      </c>
      <c r="P146" s="25" t="s">
        <v>379</v>
      </c>
      <c r="T146" s="203" t="s">
        <v>1864</v>
      </c>
      <c r="X146" s="461"/>
      <c r="Y146" s="461"/>
      <c r="Z146" s="461"/>
      <c r="AA146" s="461"/>
      <c r="AB146" s="461"/>
      <c r="AC146" s="461"/>
      <c r="AD146" s="461"/>
      <c r="AE146" s="461"/>
      <c r="AF146" s="461"/>
      <c r="AG146" s="162"/>
      <c r="AH146" s="116"/>
    </row>
    <row r="147" spans="1:34">
      <c r="A147" s="116"/>
      <c r="B147" s="121"/>
      <c r="O147" s="159" t="s">
        <v>620</v>
      </c>
      <c r="P147" s="25" t="s">
        <v>335</v>
      </c>
      <c r="T147" s="161" t="s">
        <v>1983</v>
      </c>
      <c r="X147" s="461"/>
      <c r="Y147" s="461"/>
      <c r="Z147" s="461"/>
      <c r="AA147" s="461"/>
      <c r="AB147" s="461"/>
      <c r="AC147" s="461"/>
      <c r="AD147" s="461"/>
      <c r="AE147" s="461"/>
      <c r="AF147" s="461"/>
      <c r="AG147" s="162"/>
      <c r="AH147" s="116"/>
    </row>
    <row r="148" spans="1:34">
      <c r="A148" s="116"/>
      <c r="B148" s="121"/>
      <c r="O148" s="159" t="s">
        <v>620</v>
      </c>
      <c r="P148" s="25" t="s">
        <v>368</v>
      </c>
      <c r="T148" s="161" t="s">
        <v>622</v>
      </c>
      <c r="X148" s="461"/>
      <c r="Y148" s="461"/>
      <c r="Z148" s="461"/>
      <c r="AA148" s="461"/>
      <c r="AB148" s="461"/>
      <c r="AC148" s="461"/>
      <c r="AD148" s="461"/>
      <c r="AE148" s="461"/>
      <c r="AF148" s="461"/>
      <c r="AG148" s="162"/>
      <c r="AH148" s="116"/>
    </row>
    <row r="149" spans="1:34">
      <c r="A149" s="116"/>
      <c r="B149" s="121"/>
      <c r="O149" s="159" t="s">
        <v>620</v>
      </c>
      <c r="P149" s="25" t="s">
        <v>439</v>
      </c>
      <c r="T149" s="161" t="s">
        <v>622</v>
      </c>
      <c r="X149" s="461"/>
      <c r="Y149" s="461"/>
      <c r="Z149" s="461"/>
      <c r="AA149" s="461"/>
      <c r="AB149" s="461"/>
      <c r="AC149" s="461"/>
      <c r="AD149" s="461"/>
      <c r="AE149" s="461"/>
      <c r="AF149" s="461"/>
      <c r="AG149" s="162"/>
      <c r="AH149" s="116"/>
    </row>
    <row r="150" spans="1:34">
      <c r="A150" s="116"/>
      <c r="B150" s="121"/>
      <c r="O150" s="159" t="s">
        <v>620</v>
      </c>
      <c r="P150" s="25" t="s">
        <v>441</v>
      </c>
      <c r="T150" s="161" t="s">
        <v>622</v>
      </c>
      <c r="X150" s="461"/>
      <c r="Y150" s="461"/>
      <c r="Z150" s="461"/>
      <c r="AA150" s="461"/>
      <c r="AB150" s="461"/>
      <c r="AC150" s="461"/>
      <c r="AD150" s="461"/>
      <c r="AE150" s="461"/>
      <c r="AF150" s="461"/>
      <c r="AG150" s="162"/>
      <c r="AH150" s="116"/>
    </row>
    <row r="151" spans="1:34">
      <c r="A151" s="116"/>
      <c r="B151" s="121"/>
      <c r="O151" s="159" t="s">
        <v>620</v>
      </c>
      <c r="P151" s="25" t="s">
        <v>1887</v>
      </c>
      <c r="T151" s="249" t="s">
        <v>1942</v>
      </c>
      <c r="X151" s="461"/>
      <c r="Y151" s="461"/>
      <c r="Z151" s="461"/>
      <c r="AA151" s="461"/>
      <c r="AB151" s="461"/>
      <c r="AC151" s="461"/>
      <c r="AD151" s="461"/>
      <c r="AE151" s="461"/>
      <c r="AF151" s="461"/>
      <c r="AG151" s="162"/>
      <c r="AH151" s="116"/>
    </row>
    <row r="152" spans="1:34">
      <c r="A152" s="116"/>
      <c r="B152" s="121"/>
      <c r="O152" s="159" t="s">
        <v>620</v>
      </c>
      <c r="P152" s="25" t="s">
        <v>1888</v>
      </c>
      <c r="T152" s="161" t="s">
        <v>622</v>
      </c>
      <c r="X152" s="461"/>
      <c r="Y152" s="461"/>
      <c r="Z152" s="461"/>
      <c r="AA152" s="461"/>
      <c r="AB152" s="461"/>
      <c r="AC152" s="461"/>
      <c r="AD152" s="461"/>
      <c r="AE152" s="461"/>
      <c r="AF152" s="461"/>
      <c r="AG152" s="162"/>
      <c r="AH152" s="116"/>
    </row>
    <row r="153" spans="1:34">
      <c r="A153" s="116"/>
      <c r="B153" s="121"/>
      <c r="O153" s="159" t="s">
        <v>620</v>
      </c>
      <c r="P153" s="25" t="s">
        <v>392</v>
      </c>
      <c r="T153" s="161" t="s">
        <v>622</v>
      </c>
      <c r="X153" s="461"/>
      <c r="Y153" s="461"/>
      <c r="Z153" s="461"/>
      <c r="AA153" s="461"/>
      <c r="AB153" s="461"/>
      <c r="AC153" s="461"/>
      <c r="AD153" s="461"/>
      <c r="AE153" s="461"/>
      <c r="AF153" s="461"/>
      <c r="AG153" s="162"/>
      <c r="AH153" s="116"/>
    </row>
    <row r="154" spans="1:34">
      <c r="A154" s="116"/>
      <c r="B154" s="121"/>
      <c r="O154" s="159"/>
      <c r="T154" s="161"/>
      <c r="X154" s="461"/>
      <c r="Y154" s="461"/>
      <c r="Z154" s="461"/>
      <c r="AA154" s="461"/>
      <c r="AB154" s="461"/>
      <c r="AC154" s="461"/>
      <c r="AD154" s="461"/>
      <c r="AE154" s="461"/>
      <c r="AF154" s="461"/>
      <c r="AG154" s="162"/>
      <c r="AH154" s="116"/>
    </row>
    <row r="155" spans="1:34">
      <c r="A155" s="116"/>
      <c r="B155" s="121"/>
      <c r="X155" s="461"/>
      <c r="Y155" s="461"/>
      <c r="Z155" s="461"/>
      <c r="AA155" s="461"/>
      <c r="AB155" s="461"/>
      <c r="AC155" s="461"/>
      <c r="AD155" s="461"/>
      <c r="AE155" s="461"/>
      <c r="AF155" s="461"/>
      <c r="AG155" s="162"/>
      <c r="AH155" s="116"/>
    </row>
    <row r="156" spans="1:34">
      <c r="A156" s="116"/>
      <c r="B156" s="123"/>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5"/>
      <c r="AH156" s="116"/>
    </row>
    <row r="157" spans="1:34">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22.2" hidden="1"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4.95" hidden="1"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7.7" hidden="1"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7.7" hidden="1"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7.7" hidden="1"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7.7" hidden="1"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7.7" hidden="1"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7.7" hidden="1"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7.7" hidden="1"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7.7" hidden="1"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7.7" hidden="1"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7.7" hidden="1"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7.7" hidden="1"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7.7" hidden="1"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7.7" hidden="1"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7.7" hidden="1"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7.7" hidden="1"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7.7" hidden="1"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7.7" hidden="1"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7.7" hidden="1"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7.7" hidden="1"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7.7" hidden="1"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7.7" hidden="1"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7.7" hidden="1"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7.7" hidden="1"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7.7" hidden="1"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s="201" customForma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s="201" customFormat="1" hidden="1"/>
    <row r="188" spans="1:34" s="201" customFormat="1" hidden="1"/>
    <row r="189" spans="1:34" s="201" customFormat="1" hidden="1"/>
    <row r="190" spans="1:34" s="201" customFormat="1" hidden="1"/>
    <row r="191" spans="1:34" hidden="1"/>
    <row r="192" spans="1:34"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sheetData>
  <sortState ref="H13:H20">
    <sortCondition ref="H13:H20"/>
  </sortState>
  <mergeCells count="9">
    <mergeCell ref="D137:E141"/>
    <mergeCell ref="B8:AG11"/>
    <mergeCell ref="X99:AF127"/>
    <mergeCell ref="X75:AF92"/>
    <mergeCell ref="D102:E104"/>
    <mergeCell ref="D78:E80"/>
    <mergeCell ref="X134:AF155"/>
    <mergeCell ref="X17:AF26"/>
    <mergeCell ref="X36:AF6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Q725"/>
  <sheetViews>
    <sheetView showGridLines="0" tabSelected="1" zoomScale="80" zoomScaleNormal="80" workbookViewId="0">
      <pane xSplit="3" ySplit="6" topLeftCell="J7" activePane="bottomRight" state="frozen"/>
      <selection pane="topRight" activeCell="D136" sqref="D136"/>
      <selection pane="bottomLeft" activeCell="D136" sqref="D136"/>
      <selection pane="bottomRight" activeCell="J12" sqref="J1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40.09765625" bestFit="1" customWidth="1"/>
    <col min="10" max="10" width="35" customWidth="1"/>
    <col min="11" max="11" width="24" customWidth="1"/>
    <col min="12" max="14" width="22" customWidth="1"/>
    <col min="15" max="15" width="11.19921875" customWidth="1"/>
    <col min="16" max="16" width="3.69921875" customWidth="1"/>
    <col min="17" max="17" width="8.69921875" style="268"/>
  </cols>
  <sheetData>
    <row r="1" spans="1:17" ht="17.399999999999999">
      <c r="A1" s="25"/>
      <c r="B1" s="25"/>
      <c r="C1" s="25"/>
      <c r="D1" s="25"/>
      <c r="E1" s="25"/>
      <c r="F1" s="25"/>
      <c r="G1" s="25"/>
      <c r="H1" s="25"/>
      <c r="I1" s="25"/>
      <c r="J1" s="25"/>
      <c r="K1" s="25"/>
      <c r="L1" s="25"/>
      <c r="M1" s="25"/>
      <c r="N1" s="25"/>
    </row>
    <row r="2" spans="1:17" ht="17.399999999999999">
      <c r="A2" s="25"/>
      <c r="B2" s="25"/>
      <c r="C2" s="25"/>
      <c r="D2" s="25"/>
      <c r="E2" s="429" t="s">
        <v>2239</v>
      </c>
      <c r="F2" s="25"/>
      <c r="G2" s="25"/>
      <c r="H2" s="25"/>
      <c r="I2" s="25"/>
      <c r="J2" s="25"/>
      <c r="K2" s="25"/>
      <c r="L2" s="25"/>
      <c r="M2" s="25"/>
      <c r="N2" s="25"/>
    </row>
    <row r="3" spans="1:17" ht="17.399999999999999">
      <c r="A3" s="25"/>
      <c r="B3" s="25"/>
      <c r="C3" s="25"/>
      <c r="D3" s="25"/>
      <c r="E3" s="25"/>
      <c r="F3" s="25"/>
      <c r="G3" s="25"/>
      <c r="H3" s="25"/>
      <c r="I3" s="25"/>
      <c r="J3" s="25"/>
      <c r="K3" s="25"/>
      <c r="L3" s="25"/>
      <c r="M3" s="25"/>
      <c r="N3" s="25"/>
    </row>
    <row r="4" spans="1:17" ht="4.95" customHeight="1">
      <c r="A4" s="114"/>
      <c r="B4" s="114"/>
      <c r="C4" s="114"/>
      <c r="D4" s="114"/>
      <c r="E4" s="114"/>
      <c r="F4" s="114"/>
      <c r="G4" s="114"/>
      <c r="H4" s="114"/>
      <c r="I4" s="114"/>
      <c r="J4" s="114"/>
      <c r="K4" s="114"/>
      <c r="L4" s="114"/>
      <c r="M4" s="114"/>
      <c r="N4" s="114"/>
      <c r="O4" s="114"/>
      <c r="P4" s="114"/>
    </row>
    <row r="6" spans="1:17" ht="17.399999999999999">
      <c r="B6" s="220" t="s">
        <v>8</v>
      </c>
      <c r="C6" s="221" t="s">
        <v>9</v>
      </c>
      <c r="D6" s="221" t="s">
        <v>10</v>
      </c>
      <c r="E6" s="221" t="s">
        <v>11</v>
      </c>
      <c r="F6" s="221" t="s">
        <v>12</v>
      </c>
      <c r="G6" s="221" t="s">
        <v>639</v>
      </c>
      <c r="H6" s="221" t="s">
        <v>640</v>
      </c>
      <c r="I6" s="485" t="s">
        <v>22</v>
      </c>
      <c r="J6" s="486" t="s">
        <v>641</v>
      </c>
      <c r="K6" s="486" t="s">
        <v>642</v>
      </c>
      <c r="L6" s="487" t="s">
        <v>643</v>
      </c>
      <c r="M6" s="488" t="s">
        <v>1866</v>
      </c>
      <c r="N6" s="489" t="s">
        <v>1867</v>
      </c>
      <c r="O6" s="490" t="s">
        <v>1964</v>
      </c>
      <c r="Q6" s="491" t="s">
        <v>1177</v>
      </c>
    </row>
    <row r="7" spans="1:17" ht="16.2" customHeight="1">
      <c r="A7" s="29" t="str">
        <f>E7&amp;F7</f>
        <v>ENERGY_CERTIFICATE_EST_INPUTn.a.</v>
      </c>
      <c r="B7" s="141" t="s">
        <v>26</v>
      </c>
      <c r="C7" s="137" t="s">
        <v>34</v>
      </c>
      <c r="D7" s="133" t="s">
        <v>36</v>
      </c>
      <c r="E7" s="134" t="s">
        <v>37</v>
      </c>
      <c r="F7" s="133" t="s">
        <v>38</v>
      </c>
      <c r="G7" s="135" t="str">
        <f>VLOOKUP(A7,Plano_V3!$A$26:$G$753,7,0)</f>
        <v>6. Em implementação (re-especificação)</v>
      </c>
      <c r="H7" s="135" t="s">
        <v>614</v>
      </c>
      <c r="I7" s="142"/>
      <c r="J7" s="408" t="str">
        <f>IF(VLOOKUP(A7,'Aux - pivots1'!$A:$E,3,0)=0, "",VLOOKUP(A7,'Aux - pivots1'!$A:$E,3,0))</f>
        <v/>
      </c>
      <c r="K7" s="408" t="str">
        <f>IF(VLOOKUP(A7,'Aux - pivots1'!$A:$E,4,0)=0, "",VLOOKUP(A7,'Aux - pivots1'!$A:$E,4,0))</f>
        <v/>
      </c>
      <c r="L7" s="152" t="str">
        <f>IF(VLOOKUP(A7,'Aux - pivots1'!$A:$E,5,0)=0, "",VLOOKUP(A7,'Aux - pivots1'!$A:$E,5,0))</f>
        <v/>
      </c>
      <c r="M7" s="206"/>
      <c r="N7" s="206"/>
      <c r="O7" s="338" t="s">
        <v>27</v>
      </c>
    </row>
    <row r="8" spans="1:17" ht="16.2" customHeight="1">
      <c r="A8" s="29" t="str">
        <f t="shared" ref="A8:A71" si="0">E8&amp;F8</f>
        <v>ENERGY_CERTIFICATE_EST_INPUTCHAVE_GLOVAL</v>
      </c>
      <c r="B8" s="141" t="s">
        <v>26</v>
      </c>
      <c r="C8" s="137" t="s">
        <v>34</v>
      </c>
      <c r="D8" s="133" t="s">
        <v>40</v>
      </c>
      <c r="E8" s="134" t="s">
        <v>37</v>
      </c>
      <c r="F8" s="134" t="s">
        <v>2021</v>
      </c>
      <c r="G8" s="135" t="str">
        <f>VLOOKUP(A8,Plano_V3!$A$26:$G$753,7,0)</f>
        <v>6. Em implementação (re-especificação)</v>
      </c>
      <c r="H8" s="135" t="s">
        <v>614</v>
      </c>
      <c r="I8" s="142"/>
      <c r="J8" s="408" t="str">
        <f>IF(VLOOKUP(A8,'Aux - pivots1'!$A:$E,3,0)=0, "",VLOOKUP(A8,'Aux - pivots1'!$A:$E,3,0))</f>
        <v/>
      </c>
      <c r="K8" s="408" t="str">
        <f>IF(VLOOKUP(A8,'Aux - pivots1'!$A:$E,4,0)=0, "",VLOOKUP(A8,'Aux - pivots1'!$A:$E,4,0))</f>
        <v/>
      </c>
      <c r="L8" s="152" t="str">
        <f>IF(VLOOKUP(A8,'Aux - pivots1'!$A:$E,5,0)=0, "",VLOOKUP(A8,'Aux - pivots1'!$A:$E,5,0))</f>
        <v/>
      </c>
      <c r="M8" s="205"/>
      <c r="N8" s="205"/>
      <c r="O8" s="338" t="s">
        <v>27</v>
      </c>
    </row>
    <row r="9" spans="1:17" ht="16.2" customHeight="1">
      <c r="A9" s="29" t="str">
        <f t="shared" si="0"/>
        <v>ENERGY_CERTIFICATE_EST_INPUTPROPERTY_BANK_ID</v>
      </c>
      <c r="B9" s="141" t="s">
        <v>26</v>
      </c>
      <c r="C9" s="137" t="s">
        <v>34</v>
      </c>
      <c r="D9" s="133" t="s">
        <v>40</v>
      </c>
      <c r="E9" s="134" t="s">
        <v>37</v>
      </c>
      <c r="F9" s="134" t="s">
        <v>41</v>
      </c>
      <c r="G9" s="135" t="str">
        <f>VLOOKUP(A9,Plano_V3!$A$26:$G$753,7,0)</f>
        <v>6. Em implementação (re-especificação)</v>
      </c>
      <c r="H9" s="135" t="s">
        <v>614</v>
      </c>
      <c r="I9" s="142"/>
      <c r="J9" s="408" t="str">
        <f>IF(VLOOKUP(A9,'Aux - pivots1'!$A:$E,3,0)=0, "",VLOOKUP(A9,'Aux - pivots1'!$A:$E,3,0))</f>
        <v/>
      </c>
      <c r="K9" s="408" t="str">
        <f>IF(VLOOKUP(A9,'Aux - pivots1'!$A:$E,4,0)=0, "",VLOOKUP(A9,'Aux - pivots1'!$A:$E,4,0))</f>
        <v/>
      </c>
      <c r="L9" s="152" t="str">
        <f>IF(VLOOKUP(A9,'Aux - pivots1'!$A:$E,5,0)=0, "",VLOOKUP(A9,'Aux - pivots1'!$A:$E,5,0))</f>
        <v/>
      </c>
      <c r="M9" s="205"/>
      <c r="N9" s="205"/>
      <c r="O9" s="338" t="s">
        <v>27</v>
      </c>
    </row>
    <row r="10" spans="1:17" ht="16.2" customHeight="1">
      <c r="A10" s="29" t="str">
        <f t="shared" si="0"/>
        <v>ENERGY_CERTIFICATE_EST_INPUTPROPERTY_BRANCH_CODE</v>
      </c>
      <c r="B10" s="141" t="s">
        <v>26</v>
      </c>
      <c r="C10" s="137" t="s">
        <v>34</v>
      </c>
      <c r="D10" s="133" t="s">
        <v>40</v>
      </c>
      <c r="E10" s="134" t="s">
        <v>37</v>
      </c>
      <c r="F10" s="134" t="s">
        <v>43</v>
      </c>
      <c r="G10" s="135" t="str">
        <f>VLOOKUP(A10,Plano_V3!$A$26:$G$753,7,0)</f>
        <v>6. Em implementação (re-especificação)</v>
      </c>
      <c r="H10" s="135" t="s">
        <v>614</v>
      </c>
      <c r="I10" s="142"/>
      <c r="J10" s="408" t="str">
        <f>IF(VLOOKUP(A10,'Aux - pivots1'!$A:$E,3,0)=0, "",VLOOKUP(A10,'Aux - pivots1'!$A:$E,3,0))</f>
        <v/>
      </c>
      <c r="K10" s="408" t="str">
        <f>IF(VLOOKUP(A10,'Aux - pivots1'!$A:$E,4,0)=0, "",VLOOKUP(A10,'Aux - pivots1'!$A:$E,4,0))</f>
        <v/>
      </c>
      <c r="L10" s="152" t="str">
        <f>IF(VLOOKUP(A10,'Aux - pivots1'!$A:$E,5,0)=0, "",VLOOKUP(A10,'Aux - pivots1'!$A:$E,5,0))</f>
        <v/>
      </c>
      <c r="M10" s="205"/>
      <c r="N10" s="205"/>
      <c r="O10" s="338" t="s">
        <v>27</v>
      </c>
    </row>
    <row r="11" spans="1:17" ht="16.2" customHeight="1">
      <c r="A11" s="29" t="str">
        <f t="shared" si="0"/>
        <v>ENERGY_CERTIFICATE_EST_INPUTPROPERTY_CONTRACT_ID</v>
      </c>
      <c r="B11" s="141" t="s">
        <v>26</v>
      </c>
      <c r="C11" s="137" t="s">
        <v>34</v>
      </c>
      <c r="D11" s="133" t="s">
        <v>40</v>
      </c>
      <c r="E11" s="134" t="s">
        <v>37</v>
      </c>
      <c r="F11" s="134" t="s">
        <v>44</v>
      </c>
      <c r="G11" s="135" t="str">
        <f>VLOOKUP(A11,Plano_V3!$A$26:$G$753,7,0)</f>
        <v>6. Em implementação (re-especificação)</v>
      </c>
      <c r="H11" s="135" t="s">
        <v>614</v>
      </c>
      <c r="I11" s="142"/>
      <c r="J11" s="408" t="str">
        <f>IF(VLOOKUP(A11,'Aux - pivots1'!$A:$E,3,0)=0, "",VLOOKUP(A11,'Aux - pivots1'!$A:$E,3,0))</f>
        <v/>
      </c>
      <c r="K11" s="408" t="str">
        <f>IF(VLOOKUP(A11,'Aux - pivots1'!$A:$E,4,0)=0, "",VLOOKUP(A11,'Aux - pivots1'!$A:$E,4,0))</f>
        <v/>
      </c>
      <c r="L11" s="152" t="str">
        <f>IF(VLOOKUP(A11,'Aux - pivots1'!$A:$E,5,0)=0, "",VLOOKUP(A11,'Aux - pivots1'!$A:$E,5,0))</f>
        <v/>
      </c>
      <c r="M11" s="205"/>
      <c r="N11" s="205"/>
      <c r="O11" s="338" t="s">
        <v>27</v>
      </c>
    </row>
    <row r="12" spans="1:17" ht="16.2" customHeight="1">
      <c r="A12" s="29" t="str">
        <f t="shared" si="0"/>
        <v>ENERGY_CERTIFICATE_EST_INPUTPROPERTY_REFERENCE_CODE</v>
      </c>
      <c r="B12" s="141" t="s">
        <v>26</v>
      </c>
      <c r="C12" s="137" t="s">
        <v>34</v>
      </c>
      <c r="D12" s="133" t="s">
        <v>40</v>
      </c>
      <c r="E12" s="134" t="s">
        <v>37</v>
      </c>
      <c r="F12" s="134" t="s">
        <v>45</v>
      </c>
      <c r="G12" s="135" t="str">
        <f>VLOOKUP(A12,Plano_V3!$A$26:$G$753,7,0)</f>
        <v>6. Em implementação (re-especificação)</v>
      </c>
      <c r="H12" s="135" t="s">
        <v>614</v>
      </c>
      <c r="I12" s="142"/>
      <c r="J12" s="408" t="str">
        <f>IF(VLOOKUP(A12,'Aux - pivots1'!$A:$E,3,0)=0, "",VLOOKUP(A12,'Aux - pivots1'!$A:$E,3,0))</f>
        <v/>
      </c>
      <c r="K12" s="408" t="str">
        <f>IF(VLOOKUP(A12,'Aux - pivots1'!$A:$E,4,0)=0, "",VLOOKUP(A12,'Aux - pivots1'!$A:$E,4,0))</f>
        <v/>
      </c>
      <c r="L12" s="152" t="str">
        <f>IF(VLOOKUP(A12,'Aux - pivots1'!$A:$E,5,0)=0, "",VLOOKUP(A12,'Aux - pivots1'!$A:$E,5,0))</f>
        <v/>
      </c>
      <c r="M12" s="205"/>
      <c r="N12" s="205"/>
      <c r="O12" s="338" t="s">
        <v>27</v>
      </c>
    </row>
    <row r="13" spans="1:17" ht="16.2" customHeight="1">
      <c r="A13" s="29" t="str">
        <f t="shared" si="0"/>
        <v>ENERGY_CERTIFICATE_EST_INPUTCÓDIGO_DISTRITO</v>
      </c>
      <c r="B13" s="141" t="s">
        <v>26</v>
      </c>
      <c r="C13" s="137" t="s">
        <v>34</v>
      </c>
      <c r="D13" s="133" t="s">
        <v>40</v>
      </c>
      <c r="E13" s="134" t="s">
        <v>37</v>
      </c>
      <c r="F13" s="134" t="s">
        <v>2022</v>
      </c>
      <c r="G13" s="135" t="str">
        <f>VLOOKUP(A13,Plano_V3!$A$26:$G$753,7,0)</f>
        <v>6. Em implementação (re-especificação)</v>
      </c>
      <c r="H13" s="135" t="s">
        <v>614</v>
      </c>
      <c r="I13" s="142"/>
      <c r="J13" s="408" t="str">
        <f>IF(VLOOKUP(A13,'Aux - pivots1'!$A:$E,3,0)=0, "",VLOOKUP(A13,'Aux - pivots1'!$A:$E,3,0))</f>
        <v/>
      </c>
      <c r="K13" s="408" t="str">
        <f>IF(VLOOKUP(A13,'Aux - pivots1'!$A:$E,4,0)=0, "",VLOOKUP(A13,'Aux - pivots1'!$A:$E,4,0))</f>
        <v/>
      </c>
      <c r="L13" s="152" t="str">
        <f>IF(VLOOKUP(A13,'Aux - pivots1'!$A:$E,5,0)=0, "",VLOOKUP(A13,'Aux - pivots1'!$A:$E,5,0))</f>
        <v/>
      </c>
      <c r="M13" s="205"/>
      <c r="N13" s="205"/>
      <c r="O13" s="338" t="s">
        <v>27</v>
      </c>
    </row>
    <row r="14" spans="1:17" ht="16.2" customHeight="1">
      <c r="A14" s="29" t="str">
        <f t="shared" si="0"/>
        <v>ENERGY_CERTIFICATE_EST_INPUTNOMBRE_DISTRITO</v>
      </c>
      <c r="B14" s="141" t="s">
        <v>26</v>
      </c>
      <c r="C14" s="137" t="s">
        <v>34</v>
      </c>
      <c r="D14" s="133" t="s">
        <v>40</v>
      </c>
      <c r="E14" s="134" t="s">
        <v>37</v>
      </c>
      <c r="F14" s="134" t="s">
        <v>2023</v>
      </c>
      <c r="G14" s="135" t="str">
        <f>VLOOKUP(A14,Plano_V3!$A$26:$G$753,7,0)</f>
        <v>6. Em implementação (re-especificação)</v>
      </c>
      <c r="H14" s="135" t="s">
        <v>614</v>
      </c>
      <c r="I14" s="142"/>
      <c r="J14" s="408" t="str">
        <f>IF(VLOOKUP(A14,'Aux - pivots1'!$A:$E,3,0)=0, "",VLOOKUP(A14,'Aux - pivots1'!$A:$E,3,0))</f>
        <v/>
      </c>
      <c r="K14" s="408" t="str">
        <f>IF(VLOOKUP(A14,'Aux - pivots1'!$A:$E,4,0)=0, "",VLOOKUP(A14,'Aux - pivots1'!$A:$E,4,0))</f>
        <v/>
      </c>
      <c r="L14" s="152" t="str">
        <f>IF(VLOOKUP(A14,'Aux - pivots1'!$A:$E,5,0)=0, "",VLOOKUP(A14,'Aux - pivots1'!$A:$E,5,0))</f>
        <v/>
      </c>
      <c r="M14" s="205"/>
      <c r="N14" s="205"/>
      <c r="O14" s="338" t="s">
        <v>27</v>
      </c>
    </row>
    <row r="15" spans="1:17" ht="16.2" customHeight="1">
      <c r="A15" s="29" t="str">
        <f t="shared" si="0"/>
        <v>ENERGY_CERTIFICATE_EST_INPUTCÓDIGO_CONCEJO</v>
      </c>
      <c r="B15" s="141" t="s">
        <v>26</v>
      </c>
      <c r="C15" s="137" t="s">
        <v>34</v>
      </c>
      <c r="D15" s="133" t="s">
        <v>40</v>
      </c>
      <c r="E15" s="134" t="s">
        <v>37</v>
      </c>
      <c r="F15" s="134" t="s">
        <v>2024</v>
      </c>
      <c r="G15" s="135" t="str">
        <f>VLOOKUP(A15,Plano_V3!$A$26:$G$753,7,0)</f>
        <v>6. Em implementação (re-especificação)</v>
      </c>
      <c r="H15" s="135" t="s">
        <v>614</v>
      </c>
      <c r="I15" s="142"/>
      <c r="J15" s="408" t="str">
        <f>IF(VLOOKUP(A15,'Aux - pivots1'!$A:$E,3,0)=0, "",VLOOKUP(A15,'Aux - pivots1'!$A:$E,3,0))</f>
        <v/>
      </c>
      <c r="K15" s="408" t="str">
        <f>IF(VLOOKUP(A15,'Aux - pivots1'!$A:$E,4,0)=0, "",VLOOKUP(A15,'Aux - pivots1'!$A:$E,4,0))</f>
        <v/>
      </c>
      <c r="L15" s="152" t="str">
        <f>IF(VLOOKUP(A15,'Aux - pivots1'!$A:$E,5,0)=0, "",VLOOKUP(A15,'Aux - pivots1'!$A:$E,5,0))</f>
        <v/>
      </c>
      <c r="M15" s="205"/>
      <c r="N15" s="205"/>
      <c r="O15" s="338" t="s">
        <v>27</v>
      </c>
    </row>
    <row r="16" spans="1:17" ht="16.2" customHeight="1">
      <c r="A16" s="29" t="str">
        <f t="shared" si="0"/>
        <v>ENERGY_CERTIFICATE_EST_INPUTNOMBRE_CONCEJO</v>
      </c>
      <c r="B16" s="141" t="s">
        <v>26</v>
      </c>
      <c r="C16" s="137" t="s">
        <v>34</v>
      </c>
      <c r="D16" s="133" t="s">
        <v>40</v>
      </c>
      <c r="E16" s="134" t="s">
        <v>37</v>
      </c>
      <c r="F16" s="134" t="s">
        <v>2025</v>
      </c>
      <c r="G16" s="135" t="str">
        <f>VLOOKUP(A16,Plano_V3!$A$26:$G$753,7,0)</f>
        <v>6. Em implementação (re-especificação)</v>
      </c>
      <c r="H16" s="135" t="s">
        <v>614</v>
      </c>
      <c r="I16" s="142"/>
      <c r="J16" s="408" t="str">
        <f>IF(VLOOKUP(A16,'Aux - pivots1'!$A:$E,3,0)=0, "",VLOOKUP(A16,'Aux - pivots1'!$A:$E,3,0))</f>
        <v/>
      </c>
      <c r="K16" s="408" t="str">
        <f>IF(VLOOKUP(A16,'Aux - pivots1'!$A:$E,4,0)=0, "",VLOOKUP(A16,'Aux - pivots1'!$A:$E,4,0))</f>
        <v/>
      </c>
      <c r="L16" s="152" t="str">
        <f>IF(VLOOKUP(A16,'Aux - pivots1'!$A:$E,5,0)=0, "",VLOOKUP(A16,'Aux - pivots1'!$A:$E,5,0))</f>
        <v/>
      </c>
      <c r="M16" s="205"/>
      <c r="N16" s="205"/>
      <c r="O16" s="338" t="s">
        <v>27</v>
      </c>
    </row>
    <row r="17" spans="1:15" ht="16.2" customHeight="1">
      <c r="A17" s="29" t="str">
        <f t="shared" si="0"/>
        <v>ENERGY_CERTIFICATE_EST_INPUTCÓDIGO_FREGUESIA</v>
      </c>
      <c r="B17" s="141" t="s">
        <v>26</v>
      </c>
      <c r="C17" s="137" t="s">
        <v>34</v>
      </c>
      <c r="D17" s="133" t="s">
        <v>40</v>
      </c>
      <c r="E17" s="134" t="s">
        <v>37</v>
      </c>
      <c r="F17" s="134" t="s">
        <v>2026</v>
      </c>
      <c r="G17" s="135" t="str">
        <f>VLOOKUP(A17,Plano_V3!$A$26:$G$753,7,0)</f>
        <v>6. Em implementação (re-especificação)</v>
      </c>
      <c r="H17" s="135" t="s">
        <v>614</v>
      </c>
      <c r="I17" s="142"/>
      <c r="J17" s="408" t="str">
        <f>IF(VLOOKUP(A17,'Aux - pivots1'!$A:$E,3,0)=0, "",VLOOKUP(A17,'Aux - pivots1'!$A:$E,3,0))</f>
        <v/>
      </c>
      <c r="K17" s="408" t="str">
        <f>IF(VLOOKUP(A17,'Aux - pivots1'!$A:$E,4,0)=0, "",VLOOKUP(A17,'Aux - pivots1'!$A:$E,4,0))</f>
        <v/>
      </c>
      <c r="L17" s="152" t="str">
        <f>IF(VLOOKUP(A17,'Aux - pivots1'!$A:$E,5,0)=0, "",VLOOKUP(A17,'Aux - pivots1'!$A:$E,5,0))</f>
        <v/>
      </c>
      <c r="M17" s="205"/>
      <c r="N17" s="205"/>
      <c r="O17" s="338" t="s">
        <v>27</v>
      </c>
    </row>
    <row r="18" spans="1:15" ht="16.2" customHeight="1">
      <c r="A18" s="29" t="str">
        <f t="shared" si="0"/>
        <v>ENERGY_CERTIFICATE_EST_INPUTNOMBRE_FREGUESIA</v>
      </c>
      <c r="B18" s="141" t="s">
        <v>26</v>
      </c>
      <c r="C18" s="137" t="s">
        <v>34</v>
      </c>
      <c r="D18" s="133" t="s">
        <v>40</v>
      </c>
      <c r="E18" s="134" t="s">
        <v>37</v>
      </c>
      <c r="F18" s="134" t="s">
        <v>2027</v>
      </c>
      <c r="G18" s="135" t="str">
        <f>VLOOKUP(A18,Plano_V3!$A$26:$G$753,7,0)</f>
        <v>6. Em implementação (re-especificação)</v>
      </c>
      <c r="H18" s="135" t="s">
        <v>614</v>
      </c>
      <c r="I18" s="142"/>
      <c r="J18" s="408" t="str">
        <f>IF(VLOOKUP(A18,'Aux - pivots1'!$A:$E,3,0)=0, "",VLOOKUP(A18,'Aux - pivots1'!$A:$E,3,0))</f>
        <v/>
      </c>
      <c r="K18" s="408" t="str">
        <f>IF(VLOOKUP(A18,'Aux - pivots1'!$A:$E,4,0)=0, "",VLOOKUP(A18,'Aux - pivots1'!$A:$E,4,0))</f>
        <v/>
      </c>
      <c r="L18" s="152" t="str">
        <f>IF(VLOOKUP(A18,'Aux - pivots1'!$A:$E,5,0)=0, "",VLOOKUP(A18,'Aux - pivots1'!$A:$E,5,0))</f>
        <v/>
      </c>
      <c r="M18" s="205"/>
      <c r="N18" s="205"/>
      <c r="O18" s="338" t="s">
        <v>27</v>
      </c>
    </row>
    <row r="19" spans="1:15" ht="16.2" customHeight="1">
      <c r="A19" s="29" t="str">
        <f t="shared" si="0"/>
        <v>ENERGY_CERTIFICATE_EST_INPUTLOCALIDADE</v>
      </c>
      <c r="B19" s="141" t="s">
        <v>26</v>
      </c>
      <c r="C19" s="137" t="s">
        <v>34</v>
      </c>
      <c r="D19" s="133" t="s">
        <v>40</v>
      </c>
      <c r="E19" s="134" t="s">
        <v>37</v>
      </c>
      <c r="F19" s="134" t="s">
        <v>2028</v>
      </c>
      <c r="G19" s="135" t="str">
        <f>VLOOKUP(A19,Plano_V3!$A$26:$G$753,7,0)</f>
        <v>6. Em implementação (re-especificação)</v>
      </c>
      <c r="H19" s="135"/>
      <c r="I19" s="142"/>
      <c r="J19" s="408" t="str">
        <f>IF(VLOOKUP(A19,'Aux - pivots1'!$A:$E,3,0)=0, "",VLOOKUP(A19,'Aux - pivots1'!$A:$E,3,0))</f>
        <v/>
      </c>
      <c r="K19" s="408" t="str">
        <f>IF(VLOOKUP(A19,'Aux - pivots1'!$A:$E,4,0)=0, "",VLOOKUP(A19,'Aux - pivots1'!$A:$E,4,0))</f>
        <v/>
      </c>
      <c r="L19" s="152" t="str">
        <f>IF(VLOOKUP(A19,'Aux - pivots1'!$A:$E,5,0)=0, "",VLOOKUP(A19,'Aux - pivots1'!$A:$E,5,0))</f>
        <v/>
      </c>
      <c r="M19" s="205"/>
      <c r="N19" s="205"/>
      <c r="O19" s="338" t="s">
        <v>27</v>
      </c>
    </row>
    <row r="20" spans="1:15" ht="16.2" customHeight="1">
      <c r="A20" s="29" t="str">
        <f t="shared" si="0"/>
        <v>ENERGY_CERTIFICATE_EST_INPUTTIPO_VIA</v>
      </c>
      <c r="B20" s="141" t="s">
        <v>26</v>
      </c>
      <c r="C20" s="137" t="s">
        <v>34</v>
      </c>
      <c r="D20" s="133" t="s">
        <v>40</v>
      </c>
      <c r="E20" s="134" t="s">
        <v>37</v>
      </c>
      <c r="F20" s="134" t="s">
        <v>2029</v>
      </c>
      <c r="G20" s="135" t="str">
        <f>VLOOKUP(A20,Plano_V3!$A$26:$G$753,7,0)</f>
        <v>6. Em implementação (re-especificação)</v>
      </c>
      <c r="H20" s="135"/>
      <c r="I20" s="142"/>
      <c r="J20" s="408" t="str">
        <f>IF(VLOOKUP(A20,'Aux - pivots1'!$A:$E,3,0)=0, "",VLOOKUP(A20,'Aux - pivots1'!$A:$E,3,0))</f>
        <v/>
      </c>
      <c r="K20" s="408" t="str">
        <f>IF(VLOOKUP(A20,'Aux - pivots1'!$A:$E,4,0)=0, "",VLOOKUP(A20,'Aux - pivots1'!$A:$E,4,0))</f>
        <v/>
      </c>
      <c r="L20" s="152" t="str">
        <f>IF(VLOOKUP(A20,'Aux - pivots1'!$A:$E,5,0)=0, "",VLOOKUP(A20,'Aux - pivots1'!$A:$E,5,0))</f>
        <v/>
      </c>
      <c r="M20" s="205"/>
      <c r="N20" s="205"/>
      <c r="O20" s="338" t="s">
        <v>27</v>
      </c>
    </row>
    <row r="21" spans="1:15" ht="16.2" customHeight="1">
      <c r="A21" s="29" t="str">
        <f t="shared" si="0"/>
        <v>ENERGY_CERTIFICATE_EST_INPUTNOMBRE_TIPO_VIA</v>
      </c>
      <c r="B21" s="141" t="s">
        <v>26</v>
      </c>
      <c r="C21" s="137" t="s">
        <v>34</v>
      </c>
      <c r="D21" s="133" t="s">
        <v>40</v>
      </c>
      <c r="E21" s="134" t="s">
        <v>37</v>
      </c>
      <c r="F21" s="134" t="s">
        <v>2030</v>
      </c>
      <c r="G21" s="135" t="str">
        <f>VLOOKUP(A21,Plano_V3!$A$26:$G$753,7,0)</f>
        <v>6. Em implementação (re-especificação)</v>
      </c>
      <c r="H21" s="135"/>
      <c r="I21" s="142"/>
      <c r="J21" s="408" t="str">
        <f>IF(VLOOKUP(A21,'Aux - pivots1'!$A:$E,3,0)=0, "",VLOOKUP(A21,'Aux - pivots1'!$A:$E,3,0))</f>
        <v/>
      </c>
      <c r="K21" s="408" t="str">
        <f>IF(VLOOKUP(A21,'Aux - pivots1'!$A:$E,4,0)=0, "",VLOOKUP(A21,'Aux - pivots1'!$A:$E,4,0))</f>
        <v/>
      </c>
      <c r="L21" s="152" t="str">
        <f>IF(VLOOKUP(A21,'Aux - pivots1'!$A:$E,5,0)=0, "",VLOOKUP(A21,'Aux - pivots1'!$A:$E,5,0))</f>
        <v/>
      </c>
      <c r="M21" s="205"/>
      <c r="N21" s="205"/>
      <c r="O21" s="338" t="s">
        <v>27</v>
      </c>
    </row>
    <row r="22" spans="1:15" ht="16.2" customHeight="1">
      <c r="A22" s="29" t="str">
        <f t="shared" si="0"/>
        <v>ENERGY_CERTIFICATE_EST_INPUTNOMBRE_VIA</v>
      </c>
      <c r="B22" s="141" t="s">
        <v>26</v>
      </c>
      <c r="C22" s="137" t="s">
        <v>34</v>
      </c>
      <c r="D22" s="133" t="s">
        <v>40</v>
      </c>
      <c r="E22" s="134" t="s">
        <v>37</v>
      </c>
      <c r="F22" s="134" t="s">
        <v>2031</v>
      </c>
      <c r="G22" s="135" t="str">
        <f>VLOOKUP(A22,Plano_V3!$A$26:$G$753,7,0)</f>
        <v>6. Em implementação (re-especificação)</v>
      </c>
      <c r="H22" s="135"/>
      <c r="I22" s="142"/>
      <c r="J22" s="408" t="str">
        <f>IF(VLOOKUP(A22,'Aux - pivots1'!$A:$E,3,0)=0, "",VLOOKUP(A22,'Aux - pivots1'!$A:$E,3,0))</f>
        <v/>
      </c>
      <c r="K22" s="408" t="str">
        <f>IF(VLOOKUP(A22,'Aux - pivots1'!$A:$E,4,0)=0, "",VLOOKUP(A22,'Aux - pivots1'!$A:$E,4,0))</f>
        <v/>
      </c>
      <c r="L22" s="152" t="str">
        <f>IF(VLOOKUP(A22,'Aux - pivots1'!$A:$E,5,0)=0, "",VLOOKUP(A22,'Aux - pivots1'!$A:$E,5,0))</f>
        <v/>
      </c>
      <c r="M22" s="205"/>
      <c r="N22" s="205"/>
      <c r="O22" s="338" t="s">
        <v>27</v>
      </c>
    </row>
    <row r="23" spans="1:15" ht="16.2" customHeight="1">
      <c r="A23" s="29" t="str">
        <f t="shared" si="0"/>
        <v>ENERGY_CERTIFICATE_EST_INPUTNUMERO_VIA</v>
      </c>
      <c r="B23" s="141" t="s">
        <v>26</v>
      </c>
      <c r="C23" s="137" t="s">
        <v>34</v>
      </c>
      <c r="D23" s="133" t="s">
        <v>40</v>
      </c>
      <c r="E23" s="134" t="s">
        <v>37</v>
      </c>
      <c r="F23" s="134" t="s">
        <v>2032</v>
      </c>
      <c r="G23" s="135" t="str">
        <f>VLOOKUP(A23,Plano_V3!$A$26:$G$753,7,0)</f>
        <v>6. Em implementação (re-especificação)</v>
      </c>
      <c r="H23" s="135"/>
      <c r="I23" s="142"/>
      <c r="J23" s="408" t="str">
        <f>IF(VLOOKUP(A23,'Aux - pivots1'!$A:$E,3,0)=0, "",VLOOKUP(A23,'Aux - pivots1'!$A:$E,3,0))</f>
        <v/>
      </c>
      <c r="K23" s="408" t="str">
        <f>IF(VLOOKUP(A23,'Aux - pivots1'!$A:$E,4,0)=0, "",VLOOKUP(A23,'Aux - pivots1'!$A:$E,4,0))</f>
        <v/>
      </c>
      <c r="L23" s="152" t="str">
        <f>IF(VLOOKUP(A23,'Aux - pivots1'!$A:$E,5,0)=0, "",VLOOKUP(A23,'Aux - pivots1'!$A:$E,5,0))</f>
        <v/>
      </c>
      <c r="M23" s="205"/>
      <c r="N23" s="205"/>
      <c r="O23" s="338" t="s">
        <v>27</v>
      </c>
    </row>
    <row r="24" spans="1:15" ht="16.2" customHeight="1">
      <c r="A24" s="29" t="str">
        <f t="shared" si="0"/>
        <v>ENERGY_CERTIFICATE_EST_INPUTLOTE</v>
      </c>
      <c r="B24" s="141" t="s">
        <v>26</v>
      </c>
      <c r="C24" s="137" t="s">
        <v>34</v>
      </c>
      <c r="D24" s="133" t="s">
        <v>40</v>
      </c>
      <c r="E24" s="134" t="s">
        <v>37</v>
      </c>
      <c r="F24" s="134" t="s">
        <v>2033</v>
      </c>
      <c r="G24" s="135" t="str">
        <f>VLOOKUP(A24,Plano_V3!$A$26:$G$753,7,0)</f>
        <v>6. Em implementação (re-especificação)</v>
      </c>
      <c r="H24" s="135"/>
      <c r="I24" s="142"/>
      <c r="J24" s="408" t="str">
        <f>IF(VLOOKUP(A24,'Aux - pivots1'!$A:$E,3,0)=0, "",VLOOKUP(A24,'Aux - pivots1'!$A:$E,3,0))</f>
        <v/>
      </c>
      <c r="K24" s="408" t="str">
        <f>IF(VLOOKUP(A24,'Aux - pivots1'!$A:$E,4,0)=0, "",VLOOKUP(A24,'Aux - pivots1'!$A:$E,4,0))</f>
        <v/>
      </c>
      <c r="L24" s="152" t="str">
        <f>IF(VLOOKUP(A24,'Aux - pivots1'!$A:$E,5,0)=0, "",VLOOKUP(A24,'Aux - pivots1'!$A:$E,5,0))</f>
        <v/>
      </c>
      <c r="M24" s="205"/>
      <c r="N24" s="205"/>
      <c r="O24" s="338" t="s">
        <v>27</v>
      </c>
    </row>
    <row r="25" spans="1:15" ht="16.2" customHeight="1">
      <c r="A25" s="29" t="str">
        <f t="shared" si="0"/>
        <v>ENERGY_CERTIFICATE_EST_INPUTURBANIZACION</v>
      </c>
      <c r="B25" s="141" t="s">
        <v>26</v>
      </c>
      <c r="C25" s="137" t="s">
        <v>34</v>
      </c>
      <c r="D25" s="133" t="s">
        <v>40</v>
      </c>
      <c r="E25" s="134" t="s">
        <v>37</v>
      </c>
      <c r="F25" s="134" t="s">
        <v>2034</v>
      </c>
      <c r="G25" s="135" t="str">
        <f>VLOOKUP(A25,Plano_V3!$A$26:$G$753,7,0)</f>
        <v>6. Em implementação (re-especificação)</v>
      </c>
      <c r="H25" s="135"/>
      <c r="I25" s="142"/>
      <c r="J25" s="408" t="str">
        <f>IF(VLOOKUP(A25,'Aux - pivots1'!$A:$E,3,0)=0, "",VLOOKUP(A25,'Aux - pivots1'!$A:$E,3,0))</f>
        <v/>
      </c>
      <c r="K25" s="408" t="str">
        <f>IF(VLOOKUP(A25,'Aux - pivots1'!$A:$E,4,0)=0, "",VLOOKUP(A25,'Aux - pivots1'!$A:$E,4,0))</f>
        <v/>
      </c>
      <c r="L25" s="152" t="str">
        <f>IF(VLOOKUP(A25,'Aux - pivots1'!$A:$E,5,0)=0, "",VLOOKUP(A25,'Aux - pivots1'!$A:$E,5,0))</f>
        <v/>
      </c>
      <c r="M25" s="205"/>
      <c r="N25" s="205"/>
      <c r="O25" s="338" t="s">
        <v>27</v>
      </c>
    </row>
    <row r="26" spans="1:15" ht="16.2" customHeight="1">
      <c r="A26" s="29" t="str">
        <f t="shared" si="0"/>
        <v>ENERGY_CERTIFICATE_EST_INPUTCAGLURB</v>
      </c>
      <c r="B26" s="141" t="s">
        <v>26</v>
      </c>
      <c r="C26" s="137" t="s">
        <v>34</v>
      </c>
      <c r="D26" s="133" t="s">
        <v>40</v>
      </c>
      <c r="E26" s="134" t="s">
        <v>37</v>
      </c>
      <c r="F26" s="134" t="s">
        <v>2035</v>
      </c>
      <c r="G26" s="135" t="str">
        <f>VLOOKUP(A26,Plano_V3!$A$26:$G$753,7,0)</f>
        <v>6. Em implementação (re-especificação)</v>
      </c>
      <c r="H26" s="135"/>
      <c r="I26" s="142"/>
      <c r="J26" s="408" t="str">
        <f>IF(VLOOKUP(A26,'Aux - pivots1'!$A:$E,3,0)=0, "",VLOOKUP(A26,'Aux - pivots1'!$A:$E,3,0))</f>
        <v/>
      </c>
      <c r="K26" s="408" t="str">
        <f>IF(VLOOKUP(A26,'Aux - pivots1'!$A:$E,4,0)=0, "",VLOOKUP(A26,'Aux - pivots1'!$A:$E,4,0))</f>
        <v/>
      </c>
      <c r="L26" s="152" t="str">
        <f>IF(VLOOKUP(A26,'Aux - pivots1'!$A:$E,5,0)=0, "",VLOOKUP(A26,'Aux - pivots1'!$A:$E,5,0))</f>
        <v/>
      </c>
      <c r="M26" s="205"/>
      <c r="N26" s="205"/>
      <c r="O26" s="338" t="s">
        <v>27</v>
      </c>
    </row>
    <row r="27" spans="1:15" ht="16.2" customHeight="1">
      <c r="A27" s="29" t="str">
        <f t="shared" si="0"/>
        <v>ENERGY_CERTIFICATE_EST_INPUTRESTO_DIRECCION</v>
      </c>
      <c r="B27" s="141" t="s">
        <v>26</v>
      </c>
      <c r="C27" s="137" t="s">
        <v>34</v>
      </c>
      <c r="D27" s="133" t="s">
        <v>40</v>
      </c>
      <c r="E27" s="134" t="s">
        <v>37</v>
      </c>
      <c r="F27" s="134" t="s">
        <v>2036</v>
      </c>
      <c r="G27" s="135" t="str">
        <f>VLOOKUP(A27,Plano_V3!$A$26:$G$753,7,0)</f>
        <v>6. Em implementação (re-especificação)</v>
      </c>
      <c r="H27" s="135"/>
      <c r="I27" s="142"/>
      <c r="J27" s="408" t="str">
        <f>IF(VLOOKUP(A27,'Aux - pivots1'!$A:$E,3,0)=0, "",VLOOKUP(A27,'Aux - pivots1'!$A:$E,3,0))</f>
        <v/>
      </c>
      <c r="K27" s="408" t="str">
        <f>IF(VLOOKUP(A27,'Aux - pivots1'!$A:$E,4,0)=0, "",VLOOKUP(A27,'Aux - pivots1'!$A:$E,4,0))</f>
        <v/>
      </c>
      <c r="L27" s="152" t="str">
        <f>IF(VLOOKUP(A27,'Aux - pivots1'!$A:$E,5,0)=0, "",VLOOKUP(A27,'Aux - pivots1'!$A:$E,5,0))</f>
        <v/>
      </c>
      <c r="M27" s="205"/>
      <c r="N27" s="205"/>
      <c r="O27" s="338" t="s">
        <v>27</v>
      </c>
    </row>
    <row r="28" spans="1:15" ht="16.2" customHeight="1">
      <c r="A28" s="29" t="str">
        <f t="shared" si="0"/>
        <v>ENERGY_CERTIFICATE_EST_INPUTLATITUDE</v>
      </c>
      <c r="B28" s="141" t="s">
        <v>26</v>
      </c>
      <c r="C28" s="137" t="s">
        <v>34</v>
      </c>
      <c r="D28" s="133" t="s">
        <v>40</v>
      </c>
      <c r="E28" s="134" t="s">
        <v>37</v>
      </c>
      <c r="F28" s="134" t="s">
        <v>2037</v>
      </c>
      <c r="G28" s="135" t="str">
        <f>VLOOKUP(A28,Plano_V3!$A$26:$G$753,7,0)</f>
        <v>6. Em implementação (re-especificação)</v>
      </c>
      <c r="H28" s="135"/>
      <c r="I28" s="142"/>
      <c r="J28" s="408" t="str">
        <f>IF(VLOOKUP(A28,'Aux - pivots1'!$A:$E,3,0)=0, "",VLOOKUP(A28,'Aux - pivots1'!$A:$E,3,0))</f>
        <v/>
      </c>
      <c r="K28" s="408" t="str">
        <f>IF(VLOOKUP(A28,'Aux - pivots1'!$A:$E,4,0)=0, "",VLOOKUP(A28,'Aux - pivots1'!$A:$E,4,0))</f>
        <v/>
      </c>
      <c r="L28" s="152" t="str">
        <f>IF(VLOOKUP(A28,'Aux - pivots1'!$A:$E,5,0)=0, "",VLOOKUP(A28,'Aux - pivots1'!$A:$E,5,0))</f>
        <v/>
      </c>
      <c r="M28" s="205"/>
      <c r="N28" s="205"/>
      <c r="O28" s="338" t="s">
        <v>27</v>
      </c>
    </row>
    <row r="29" spans="1:15" ht="16.2" customHeight="1">
      <c r="A29" s="29" t="str">
        <f t="shared" si="0"/>
        <v>ENERGY_CERTIFICATE_EST_INPUTLONGITUDE</v>
      </c>
      <c r="B29" s="141" t="s">
        <v>26</v>
      </c>
      <c r="C29" s="137" t="s">
        <v>34</v>
      </c>
      <c r="D29" s="133" t="s">
        <v>40</v>
      </c>
      <c r="E29" s="134" t="s">
        <v>37</v>
      </c>
      <c r="F29" s="134" t="s">
        <v>2038</v>
      </c>
      <c r="G29" s="135" t="str">
        <f>VLOOKUP(A29,Plano_V3!$A$26:$G$753,7,0)</f>
        <v>6. Em implementação (re-especificação)</v>
      </c>
      <c r="H29" s="135"/>
      <c r="I29" s="142"/>
      <c r="J29" s="408" t="str">
        <f>IF(VLOOKUP(A29,'Aux - pivots1'!$A:$E,3,0)=0, "",VLOOKUP(A29,'Aux - pivots1'!$A:$E,3,0))</f>
        <v/>
      </c>
      <c r="K29" s="408" t="str">
        <f>IF(VLOOKUP(A29,'Aux - pivots1'!$A:$E,4,0)=0, "",VLOOKUP(A29,'Aux - pivots1'!$A:$E,4,0))</f>
        <v/>
      </c>
      <c r="L29" s="152" t="str">
        <f>IF(VLOOKUP(A29,'Aux - pivots1'!$A:$E,5,0)=0, "",VLOOKUP(A29,'Aux - pivots1'!$A:$E,5,0))</f>
        <v/>
      </c>
      <c r="M29" s="205"/>
      <c r="N29" s="205"/>
      <c r="O29" s="338" t="s">
        <v>27</v>
      </c>
    </row>
    <row r="30" spans="1:15" ht="16.2" customHeight="1">
      <c r="A30" s="29" t="str">
        <f t="shared" si="0"/>
        <v>ENERGY_CERTIFICATE_EST_INPUTCODIGO_POSTAL</v>
      </c>
      <c r="B30" s="141" t="s">
        <v>26</v>
      </c>
      <c r="C30" s="137" t="s">
        <v>34</v>
      </c>
      <c r="D30" s="133" t="s">
        <v>40</v>
      </c>
      <c r="E30" s="134" t="s">
        <v>37</v>
      </c>
      <c r="F30" s="134" t="s">
        <v>2039</v>
      </c>
      <c r="G30" s="135" t="str">
        <f>VLOOKUP(A30,Plano_V3!$A$26:$G$753,7,0)</f>
        <v>6. Em implementação (re-especificação)</v>
      </c>
      <c r="H30" s="135"/>
      <c r="I30" s="142"/>
      <c r="J30" s="408" t="str">
        <f>IF(VLOOKUP(A30,'Aux - pivots1'!$A:$E,3,0)=0, "",VLOOKUP(A30,'Aux - pivots1'!$A:$E,3,0))</f>
        <v/>
      </c>
      <c r="K30" s="408" t="str">
        <f>IF(VLOOKUP(A30,'Aux - pivots1'!$A:$E,4,0)=0, "",VLOOKUP(A30,'Aux - pivots1'!$A:$E,4,0))</f>
        <v/>
      </c>
      <c r="L30" s="152" t="str">
        <f>IF(VLOOKUP(A30,'Aux - pivots1'!$A:$E,5,0)=0, "",VLOOKUP(A30,'Aux - pivots1'!$A:$E,5,0))</f>
        <v/>
      </c>
      <c r="M30" s="205"/>
      <c r="N30" s="205"/>
      <c r="O30" s="338" t="s">
        <v>27</v>
      </c>
    </row>
    <row r="31" spans="1:15" ht="16.2" customHeight="1">
      <c r="A31" s="29" t="str">
        <f t="shared" si="0"/>
        <v>ENERGY_CERTIFICATE_EST_INPUTSUBCODIGO_POSTAL</v>
      </c>
      <c r="B31" s="141" t="s">
        <v>26</v>
      </c>
      <c r="C31" s="137" t="s">
        <v>34</v>
      </c>
      <c r="D31" s="133" t="s">
        <v>40</v>
      </c>
      <c r="E31" s="134" t="s">
        <v>37</v>
      </c>
      <c r="F31" s="134" t="s">
        <v>2040</v>
      </c>
      <c r="G31" s="135" t="str">
        <f>VLOOKUP(A31,Plano_V3!$A$26:$G$753,7,0)</f>
        <v>6. Em implementação (re-especificação)</v>
      </c>
      <c r="H31" s="135"/>
      <c r="I31" s="142"/>
      <c r="J31" s="408" t="str">
        <f>IF(VLOOKUP(A31,'Aux - pivots1'!$A:$E,3,0)=0, "",VLOOKUP(A31,'Aux - pivots1'!$A:$E,3,0))</f>
        <v/>
      </c>
      <c r="K31" s="408" t="str">
        <f>IF(VLOOKUP(A31,'Aux - pivots1'!$A:$E,4,0)=0, "",VLOOKUP(A31,'Aux - pivots1'!$A:$E,4,0))</f>
        <v/>
      </c>
      <c r="L31" s="152" t="str">
        <f>IF(VLOOKUP(A31,'Aux - pivots1'!$A:$E,5,0)=0, "",VLOOKUP(A31,'Aux - pivots1'!$A:$E,5,0))</f>
        <v/>
      </c>
      <c r="M31" s="205"/>
      <c r="N31" s="205"/>
      <c r="O31" s="338" t="s">
        <v>27</v>
      </c>
    </row>
    <row r="32" spans="1:15" ht="16.2" customHeight="1">
      <c r="A32" s="29" t="str">
        <f t="shared" si="0"/>
        <v>ENERGY_CERTIFICATE_EST_INPUTASSUPERFICIE_UTIL</v>
      </c>
      <c r="B32" s="141" t="s">
        <v>26</v>
      </c>
      <c r="C32" s="137" t="s">
        <v>34</v>
      </c>
      <c r="D32" s="133" t="s">
        <v>40</v>
      </c>
      <c r="E32" s="134" t="s">
        <v>37</v>
      </c>
      <c r="F32" s="134" t="s">
        <v>2041</v>
      </c>
      <c r="G32" s="135" t="str">
        <f>VLOOKUP(A32,Plano_V3!$A$26:$G$753,7,0)</f>
        <v>6. Em implementação (re-especificação)</v>
      </c>
      <c r="H32" s="135"/>
      <c r="I32" s="142"/>
      <c r="J32" s="408" t="str">
        <f>IF(VLOOKUP(A32,'Aux - pivots1'!$A:$E,3,0)=0, "",VLOOKUP(A32,'Aux - pivots1'!$A:$E,3,0))</f>
        <v/>
      </c>
      <c r="K32" s="408" t="str">
        <f>IF(VLOOKUP(A32,'Aux - pivots1'!$A:$E,4,0)=0, "",VLOOKUP(A32,'Aux - pivots1'!$A:$E,4,0))</f>
        <v/>
      </c>
      <c r="L32" s="152" t="str">
        <f>IF(VLOOKUP(A32,'Aux - pivots1'!$A:$E,5,0)=0, "",VLOOKUP(A32,'Aux - pivots1'!$A:$E,5,0))</f>
        <v/>
      </c>
      <c r="M32" s="205"/>
      <c r="N32" s="205"/>
      <c r="O32" s="338" t="s">
        <v>27</v>
      </c>
    </row>
    <row r="33" spans="1:15" ht="16.2" customHeight="1">
      <c r="A33" s="29" t="str">
        <f t="shared" si="0"/>
        <v>ENERGY_CERTIFICATE_EST_INPUTANIO_CONSTRUCCION</v>
      </c>
      <c r="B33" s="141" t="s">
        <v>26</v>
      </c>
      <c r="C33" s="137" t="s">
        <v>34</v>
      </c>
      <c r="D33" s="133" t="s">
        <v>40</v>
      </c>
      <c r="E33" s="134" t="s">
        <v>37</v>
      </c>
      <c r="F33" s="134" t="s">
        <v>2042</v>
      </c>
      <c r="G33" s="135" t="str">
        <f>VLOOKUP(A33,Plano_V3!$A$26:$G$753,7,0)</f>
        <v>6. Em implementação (re-especificação)</v>
      </c>
      <c r="H33" s="135"/>
      <c r="I33" s="142"/>
      <c r="J33" s="408" t="str">
        <f>IF(VLOOKUP(A33,'Aux - pivots1'!$A:$E,3,0)=0, "",VLOOKUP(A33,'Aux - pivots1'!$A:$E,3,0))</f>
        <v/>
      </c>
      <c r="K33" s="408" t="str">
        <f>IF(VLOOKUP(A33,'Aux - pivots1'!$A:$E,4,0)=0, "",VLOOKUP(A33,'Aux - pivots1'!$A:$E,4,0))</f>
        <v/>
      </c>
      <c r="L33" s="152" t="str">
        <f>IF(VLOOKUP(A33,'Aux - pivots1'!$A:$E,5,0)=0, "",VLOOKUP(A33,'Aux - pivots1'!$A:$E,5,0))</f>
        <v/>
      </c>
      <c r="M33" s="205"/>
      <c r="N33" s="205"/>
      <c r="O33" s="338" t="s">
        <v>27</v>
      </c>
    </row>
    <row r="34" spans="1:15" ht="16.2" customHeight="1">
      <c r="A34" s="29" t="str">
        <f t="shared" si="0"/>
        <v>ENERGY_CERTIFICATE_EST_INPUTTIPO_INMUEBLE_HABITACAO</v>
      </c>
      <c r="B34" s="141" t="s">
        <v>26</v>
      </c>
      <c r="C34" s="137" t="s">
        <v>34</v>
      </c>
      <c r="D34" s="133" t="s">
        <v>40</v>
      </c>
      <c r="E34" s="134" t="s">
        <v>37</v>
      </c>
      <c r="F34" s="134" t="s">
        <v>2043</v>
      </c>
      <c r="G34" s="135" t="str">
        <f>VLOOKUP(A34,Plano_V3!$A$26:$G$753,7,0)</f>
        <v>6. Em implementação (re-especificação)</v>
      </c>
      <c r="H34" s="135"/>
      <c r="I34" s="142"/>
      <c r="J34" s="408" t="str">
        <f>IF(VLOOKUP(A34,'Aux - pivots1'!$A:$E,3,0)=0, "",VLOOKUP(A34,'Aux - pivots1'!$A:$E,3,0))</f>
        <v/>
      </c>
      <c r="K34" s="408" t="str">
        <f>IF(VLOOKUP(A34,'Aux - pivots1'!$A:$E,4,0)=0, "",VLOOKUP(A34,'Aux - pivots1'!$A:$E,4,0))</f>
        <v/>
      </c>
      <c r="L34" s="152" t="str">
        <f>IF(VLOOKUP(A34,'Aux - pivots1'!$A:$E,5,0)=0, "",VLOOKUP(A34,'Aux - pivots1'!$A:$E,5,0))</f>
        <v/>
      </c>
      <c r="M34" s="205"/>
      <c r="N34" s="205"/>
      <c r="O34" s="338" t="s">
        <v>27</v>
      </c>
    </row>
    <row r="35" spans="1:15" ht="16.2" customHeight="1">
      <c r="A35" s="29" t="str">
        <f t="shared" si="0"/>
        <v>ENERGY_CERTIFICATE_EST_INPUTPISO_APARTAMENTO</v>
      </c>
      <c r="B35" s="141" t="s">
        <v>26</v>
      </c>
      <c r="C35" s="137" t="s">
        <v>34</v>
      </c>
      <c r="D35" s="133" t="s">
        <v>40</v>
      </c>
      <c r="E35" s="134" t="s">
        <v>37</v>
      </c>
      <c r="F35" s="134" t="s">
        <v>2044</v>
      </c>
      <c r="G35" s="135" t="str">
        <f>VLOOKUP(A35,Plano_V3!$A$26:$G$753,7,0)</f>
        <v>6. Em implementação (re-especificação)</v>
      </c>
      <c r="H35" s="135"/>
      <c r="I35" s="142"/>
      <c r="J35" s="408" t="str">
        <f>IF(VLOOKUP(A35,'Aux - pivots1'!$A:$E,3,0)=0, "",VLOOKUP(A35,'Aux - pivots1'!$A:$E,3,0))</f>
        <v/>
      </c>
      <c r="K35" s="408" t="str">
        <f>IF(VLOOKUP(A35,'Aux - pivots1'!$A:$E,4,0)=0, "",VLOOKUP(A35,'Aux - pivots1'!$A:$E,4,0))</f>
        <v/>
      </c>
      <c r="L35" s="152" t="str">
        <f>IF(VLOOKUP(A35,'Aux - pivots1'!$A:$E,5,0)=0, "",VLOOKUP(A35,'Aux - pivots1'!$A:$E,5,0))</f>
        <v/>
      </c>
      <c r="M35" s="205"/>
      <c r="N35" s="205"/>
      <c r="O35" s="338" t="s">
        <v>27</v>
      </c>
    </row>
    <row r="36" spans="1:15" ht="16.2" customHeight="1">
      <c r="A36" s="29" t="str">
        <f t="shared" si="0"/>
        <v>ENERGY_CERTIFICATE_EST_INPUTCASA_UNIFAMILIAR</v>
      </c>
      <c r="B36" s="141" t="s">
        <v>26</v>
      </c>
      <c r="C36" s="137" t="s">
        <v>34</v>
      </c>
      <c r="D36" s="133" t="s">
        <v>40</v>
      </c>
      <c r="E36" s="134" t="s">
        <v>37</v>
      </c>
      <c r="F36" s="134" t="s">
        <v>2045</v>
      </c>
      <c r="G36" s="135" t="str">
        <f>VLOOKUP(A36,Plano_V3!$A$26:$G$753,7,0)</f>
        <v>6. Em implementação (re-especificação)</v>
      </c>
      <c r="H36" s="135"/>
      <c r="I36" s="142"/>
      <c r="J36" s="408" t="str">
        <f>IF(VLOOKUP(A36,'Aux - pivots1'!$A:$E,3,0)=0, "",VLOOKUP(A36,'Aux - pivots1'!$A:$E,3,0))</f>
        <v/>
      </c>
      <c r="K36" s="408" t="str">
        <f>IF(VLOOKUP(A36,'Aux - pivots1'!$A:$E,4,0)=0, "",VLOOKUP(A36,'Aux - pivots1'!$A:$E,4,0))</f>
        <v/>
      </c>
      <c r="L36" s="152" t="str">
        <f>IF(VLOOKUP(A36,'Aux - pivots1'!$A:$E,5,0)=0, "",VLOOKUP(A36,'Aux - pivots1'!$A:$E,5,0))</f>
        <v/>
      </c>
      <c r="M36" s="205"/>
      <c r="N36" s="205"/>
      <c r="O36" s="338" t="s">
        <v>27</v>
      </c>
    </row>
    <row r="37" spans="1:15" ht="16.2" customHeight="1">
      <c r="A37" s="29" t="str">
        <f t="shared" si="0"/>
        <v>ENERGY_CERTIFICATE_EST_INPUTTIPO_INMUEBLE_COMERCIO_SERVICOS</v>
      </c>
      <c r="B37" s="141" t="s">
        <v>26</v>
      </c>
      <c r="C37" s="137" t="s">
        <v>34</v>
      </c>
      <c r="D37" s="133" t="s">
        <v>40</v>
      </c>
      <c r="E37" s="134" t="s">
        <v>37</v>
      </c>
      <c r="F37" s="134" t="s">
        <v>2046</v>
      </c>
      <c r="G37" s="135" t="str">
        <f>VLOOKUP(A37,Plano_V3!$A$26:$G$753,7,0)</f>
        <v>6. Em implementação (re-especificação)</v>
      </c>
      <c r="H37" s="135"/>
      <c r="I37" s="142"/>
      <c r="J37" s="408" t="str">
        <f>IF(VLOOKUP(A37,'Aux - pivots1'!$A:$E,3,0)=0, "",VLOOKUP(A37,'Aux - pivots1'!$A:$E,3,0))</f>
        <v/>
      </c>
      <c r="K37" s="408" t="str">
        <f>IF(VLOOKUP(A37,'Aux - pivots1'!$A:$E,4,0)=0, "",VLOOKUP(A37,'Aux - pivots1'!$A:$E,4,0))</f>
        <v/>
      </c>
      <c r="L37" s="152" t="str">
        <f>IF(VLOOKUP(A37,'Aux - pivots1'!$A:$E,5,0)=0, "",VLOOKUP(A37,'Aux - pivots1'!$A:$E,5,0))</f>
        <v/>
      </c>
      <c r="M37" s="205"/>
      <c r="N37" s="205"/>
      <c r="O37" s="338" t="s">
        <v>27</v>
      </c>
    </row>
    <row r="38" spans="1:15" ht="16.2" customHeight="1">
      <c r="A38" s="29" t="str">
        <f t="shared" si="0"/>
        <v>ENERGY_CERTIFICATE_EST_INPUTNOME_CONSERVATORIA</v>
      </c>
      <c r="B38" s="141" t="s">
        <v>26</v>
      </c>
      <c r="C38" s="137" t="s">
        <v>34</v>
      </c>
      <c r="D38" s="133" t="s">
        <v>40</v>
      </c>
      <c r="E38" s="134" t="s">
        <v>37</v>
      </c>
      <c r="F38" s="134" t="s">
        <v>2047</v>
      </c>
      <c r="G38" s="135" t="str">
        <f>VLOOKUP(A38,Plano_V3!$A$26:$G$753,7,0)</f>
        <v>6. Em implementação (re-especificação)</v>
      </c>
      <c r="H38" s="135"/>
      <c r="I38" s="142"/>
      <c r="J38" s="408" t="str">
        <f>IF(VLOOKUP(A38,'Aux - pivots1'!$A:$E,3,0)=0, "",VLOOKUP(A38,'Aux - pivots1'!$A:$E,3,0))</f>
        <v/>
      </c>
      <c r="K38" s="408" t="str">
        <f>IF(VLOOKUP(A38,'Aux - pivots1'!$A:$E,4,0)=0, "",VLOOKUP(A38,'Aux - pivots1'!$A:$E,4,0))</f>
        <v/>
      </c>
      <c r="L38" s="152" t="str">
        <f>IF(VLOOKUP(A38,'Aux - pivots1'!$A:$E,5,0)=0, "",VLOOKUP(A38,'Aux - pivots1'!$A:$E,5,0))</f>
        <v/>
      </c>
      <c r="M38" s="205"/>
      <c r="N38" s="205"/>
      <c r="O38" s="338" t="s">
        <v>27</v>
      </c>
    </row>
    <row r="39" spans="1:15" ht="16.2" customHeight="1">
      <c r="A39" s="29" t="str">
        <f t="shared" si="0"/>
        <v>ENERGY_CERTIFICATE_EST_INPUTCOD_CONSERVATORIA</v>
      </c>
      <c r="B39" s="141" t="s">
        <v>26</v>
      </c>
      <c r="C39" s="137" t="s">
        <v>34</v>
      </c>
      <c r="D39" s="133" t="s">
        <v>40</v>
      </c>
      <c r="E39" s="134" t="s">
        <v>37</v>
      </c>
      <c r="F39" s="134" t="s">
        <v>2048</v>
      </c>
      <c r="G39" s="135" t="str">
        <f>VLOOKUP(A39,Plano_V3!$A$26:$G$753,7,0)</f>
        <v>6. Em implementação (re-especificação)</v>
      </c>
      <c r="H39" s="135"/>
      <c r="I39" s="142"/>
      <c r="J39" s="408" t="str">
        <f>IF(VLOOKUP(A39,'Aux - pivots1'!$A:$E,3,0)=0, "",VLOOKUP(A39,'Aux - pivots1'!$A:$E,3,0))</f>
        <v/>
      </c>
      <c r="K39" s="408" t="str">
        <f>IF(VLOOKUP(A39,'Aux - pivots1'!$A:$E,4,0)=0, "",VLOOKUP(A39,'Aux - pivots1'!$A:$E,4,0))</f>
        <v/>
      </c>
      <c r="L39" s="152" t="str">
        <f>IF(VLOOKUP(A39,'Aux - pivots1'!$A:$E,5,0)=0, "",VLOOKUP(A39,'Aux - pivots1'!$A:$E,5,0))</f>
        <v/>
      </c>
      <c r="M39" s="205"/>
      <c r="N39" s="205"/>
      <c r="O39" s="338" t="s">
        <v>27</v>
      </c>
    </row>
    <row r="40" spans="1:15" ht="16.2" customHeight="1">
      <c r="A40" s="29" t="str">
        <f t="shared" si="0"/>
        <v>ENERGY_CERTIFICATE_EST_INPUTREGISTRO_CONSERVATORIA</v>
      </c>
      <c r="B40" s="141" t="s">
        <v>26</v>
      </c>
      <c r="C40" s="137" t="s">
        <v>34</v>
      </c>
      <c r="D40" s="133" t="s">
        <v>40</v>
      </c>
      <c r="E40" s="134" t="s">
        <v>37</v>
      </c>
      <c r="F40" s="134" t="s">
        <v>2049</v>
      </c>
      <c r="G40" s="135" t="str">
        <f>VLOOKUP(A40,Plano_V3!$A$26:$G$753,7,0)</f>
        <v>6. Em implementação (re-especificação)</v>
      </c>
      <c r="H40" s="135"/>
      <c r="I40" s="142"/>
      <c r="J40" s="408" t="str">
        <f>IF(VLOOKUP(A40,'Aux - pivots1'!$A:$E,3,0)=0, "",VLOOKUP(A40,'Aux - pivots1'!$A:$E,3,0))</f>
        <v/>
      </c>
      <c r="K40" s="408" t="str">
        <f>IF(VLOOKUP(A40,'Aux - pivots1'!$A:$E,4,0)=0, "",VLOOKUP(A40,'Aux - pivots1'!$A:$E,4,0))</f>
        <v/>
      </c>
      <c r="L40" s="152" t="str">
        <f>IF(VLOOKUP(A40,'Aux - pivots1'!$A:$E,5,0)=0, "",VLOOKUP(A40,'Aux - pivots1'!$A:$E,5,0))</f>
        <v/>
      </c>
      <c r="M40" s="205"/>
      <c r="N40" s="205"/>
      <c r="O40" s="338" t="s">
        <v>27</v>
      </c>
    </row>
    <row r="41" spans="1:15" ht="16.2" customHeight="1">
      <c r="A41" s="29" t="str">
        <f t="shared" si="0"/>
        <v>ENERGY_CERTIFICATE_EST_INPUTART_MATRICIAIS</v>
      </c>
      <c r="B41" s="141" t="s">
        <v>26</v>
      </c>
      <c r="C41" s="137" t="s">
        <v>34</v>
      </c>
      <c r="D41" s="133" t="s">
        <v>40</v>
      </c>
      <c r="E41" s="134" t="s">
        <v>37</v>
      </c>
      <c r="F41" s="134" t="s">
        <v>2050</v>
      </c>
      <c r="G41" s="135" t="str">
        <f>VLOOKUP(A41,Plano_V3!$A$26:$G$753,7,0)</f>
        <v>6. Em implementação (re-especificação)</v>
      </c>
      <c r="H41" s="135"/>
      <c r="I41" s="142"/>
      <c r="J41" s="408" t="str">
        <f>IF(VLOOKUP(A41,'Aux - pivots1'!$A:$E,3,0)=0, "",VLOOKUP(A41,'Aux - pivots1'!$A:$E,3,0))</f>
        <v/>
      </c>
      <c r="K41" s="408" t="str">
        <f>IF(VLOOKUP(A41,'Aux - pivots1'!$A:$E,4,0)=0, "",VLOOKUP(A41,'Aux - pivots1'!$A:$E,4,0))</f>
        <v/>
      </c>
      <c r="L41" s="152" t="str">
        <f>IF(VLOOKUP(A41,'Aux - pivots1'!$A:$E,5,0)=0, "",VLOOKUP(A41,'Aux - pivots1'!$A:$E,5,0))</f>
        <v/>
      </c>
      <c r="M41" s="205"/>
      <c r="N41" s="205"/>
      <c r="O41" s="338" t="s">
        <v>27</v>
      </c>
    </row>
    <row r="42" spans="1:15" ht="16.2" customHeight="1">
      <c r="A42" s="29" t="str">
        <f t="shared" si="0"/>
        <v>ENERGY_CERTIFICATE_EST_INPUTFRACCAO_AUTONOMA</v>
      </c>
      <c r="B42" s="141" t="s">
        <v>26</v>
      </c>
      <c r="C42" s="137" t="s">
        <v>34</v>
      </c>
      <c r="D42" s="133" t="s">
        <v>40</v>
      </c>
      <c r="E42" s="134" t="s">
        <v>37</v>
      </c>
      <c r="F42" s="134" t="s">
        <v>2051</v>
      </c>
      <c r="G42" s="135" t="str">
        <f>VLOOKUP(A42,Plano_V3!$A$26:$G$753,7,0)</f>
        <v>6. Em implementação (re-especificação)</v>
      </c>
      <c r="H42" s="135"/>
      <c r="I42" s="142"/>
      <c r="J42" s="408" t="str">
        <f>IF(VLOOKUP(A42,'Aux - pivots1'!$A:$E,3,0)=0, "",VLOOKUP(A42,'Aux - pivots1'!$A:$E,3,0))</f>
        <v/>
      </c>
      <c r="K42" s="408" t="str">
        <f>IF(VLOOKUP(A42,'Aux - pivots1'!$A:$E,4,0)=0, "",VLOOKUP(A42,'Aux - pivots1'!$A:$E,4,0))</f>
        <v/>
      </c>
      <c r="L42" s="152" t="str">
        <f>IF(VLOOKUP(A42,'Aux - pivots1'!$A:$E,5,0)=0, "",VLOOKUP(A42,'Aux - pivots1'!$A:$E,5,0))</f>
        <v/>
      </c>
      <c r="M42" s="205"/>
      <c r="N42" s="205"/>
      <c r="O42" s="338" t="s">
        <v>27</v>
      </c>
    </row>
    <row r="43" spans="1:15" ht="16.2" customHeight="1">
      <c r="A43" s="29" t="str">
        <f t="shared" si="0"/>
        <v>ENERGY_CERTIFICATE_EST_INPUTFINALIDADE_BEM</v>
      </c>
      <c r="B43" s="141" t="s">
        <v>26</v>
      </c>
      <c r="C43" s="137" t="s">
        <v>34</v>
      </c>
      <c r="D43" s="133" t="s">
        <v>40</v>
      </c>
      <c r="E43" s="134" t="s">
        <v>37</v>
      </c>
      <c r="F43" s="134" t="s">
        <v>2052</v>
      </c>
      <c r="G43" s="135" t="str">
        <f>VLOOKUP(A43,Plano_V3!$A$26:$G$753,7,0)</f>
        <v>6. Em implementação (re-especificação)</v>
      </c>
      <c r="H43" s="135"/>
      <c r="I43" s="142"/>
      <c r="J43" s="408" t="str">
        <f>IF(VLOOKUP(A43,'Aux - pivots1'!$A:$E,3,0)=0, "",VLOOKUP(A43,'Aux - pivots1'!$A:$E,3,0))</f>
        <v/>
      </c>
      <c r="K43" s="408" t="str">
        <f>IF(VLOOKUP(A43,'Aux - pivots1'!$A:$E,4,0)=0, "",VLOOKUP(A43,'Aux - pivots1'!$A:$E,4,0))</f>
        <v/>
      </c>
      <c r="L43" s="152" t="str">
        <f>IF(VLOOKUP(A43,'Aux - pivots1'!$A:$E,5,0)=0, "",VLOOKUP(A43,'Aux - pivots1'!$A:$E,5,0))</f>
        <v/>
      </c>
      <c r="M43" s="205"/>
      <c r="N43" s="205"/>
      <c r="O43" s="338" t="s">
        <v>27</v>
      </c>
    </row>
    <row r="44" spans="1:15" ht="16.2" customHeight="1">
      <c r="A44" s="29" t="str">
        <f t="shared" si="0"/>
        <v>ENERGY_CERTIFICATE_EST_INPUTCLASS_GPT31</v>
      </c>
      <c r="B44" s="141" t="s">
        <v>26</v>
      </c>
      <c r="C44" s="137" t="s">
        <v>34</v>
      </c>
      <c r="D44" s="133" t="s">
        <v>40</v>
      </c>
      <c r="E44" s="134" t="s">
        <v>37</v>
      </c>
      <c r="F44" s="134" t="s">
        <v>2053</v>
      </c>
      <c r="G44" s="135" t="str">
        <f>VLOOKUP(A44,Plano_V3!$A$26:$G$753,7,0)</f>
        <v>6. Em implementação (re-especificação)</v>
      </c>
      <c r="H44" s="135"/>
      <c r="I44" s="142"/>
      <c r="J44" s="408" t="str">
        <f>IF(VLOOKUP(A44,'Aux - pivots1'!$A:$E,3,0)=0, "",VLOOKUP(A44,'Aux - pivots1'!$A:$E,3,0))</f>
        <v/>
      </c>
      <c r="K44" s="408" t="str">
        <f>IF(VLOOKUP(A44,'Aux - pivots1'!$A:$E,4,0)=0, "",VLOOKUP(A44,'Aux - pivots1'!$A:$E,4,0))</f>
        <v/>
      </c>
      <c r="L44" s="152" t="str">
        <f>IF(VLOOKUP(A44,'Aux - pivots1'!$A:$E,5,0)=0, "",VLOOKUP(A44,'Aux - pivots1'!$A:$E,5,0))</f>
        <v/>
      </c>
      <c r="M44" s="205"/>
      <c r="N44" s="205"/>
      <c r="O44" s="338" t="s">
        <v>27</v>
      </c>
    </row>
    <row r="45" spans="1:15" ht="16.2" customHeight="1">
      <c r="A45" s="29" t="str">
        <f t="shared" si="0"/>
        <v>ENERGY_CERTIFICATE_EST_INPUTCLASS_STCLIM</v>
      </c>
      <c r="B45" s="141" t="s">
        <v>26</v>
      </c>
      <c r="C45" s="137" t="s">
        <v>34</v>
      </c>
      <c r="D45" s="133" t="s">
        <v>40</v>
      </c>
      <c r="E45" s="134" t="s">
        <v>37</v>
      </c>
      <c r="F45" s="134" t="s">
        <v>2054</v>
      </c>
      <c r="G45" s="135" t="str">
        <f>VLOOKUP(A45,Plano_V3!$A$26:$G$753,7,0)</f>
        <v>6. Em implementação (re-especificação)</v>
      </c>
      <c r="H45" s="135"/>
      <c r="I45" s="142"/>
      <c r="J45" s="408" t="str">
        <f>IF(VLOOKUP(A45,'Aux - pivots1'!$A:$E,3,0)=0, "",VLOOKUP(A45,'Aux - pivots1'!$A:$E,3,0))</f>
        <v/>
      </c>
      <c r="K45" s="408" t="str">
        <f>IF(VLOOKUP(A45,'Aux - pivots1'!$A:$E,4,0)=0, "",VLOOKUP(A45,'Aux - pivots1'!$A:$E,4,0))</f>
        <v/>
      </c>
      <c r="L45" s="152" t="str">
        <f>IF(VLOOKUP(A45,'Aux - pivots1'!$A:$E,5,0)=0, "",VLOOKUP(A45,'Aux - pivots1'!$A:$E,5,0))</f>
        <v/>
      </c>
      <c r="M45" s="205"/>
      <c r="N45" s="205"/>
      <c r="O45" s="338" t="s">
        <v>27</v>
      </c>
    </row>
    <row r="46" spans="1:15" ht="16.2" customHeight="1">
      <c r="A46" s="29" t="str">
        <f t="shared" si="0"/>
        <v>ENERGY_CERTIFICATE_EST_INPUTCONF_STCLIM</v>
      </c>
      <c r="B46" s="141" t="s">
        <v>26</v>
      </c>
      <c r="C46" s="137" t="s">
        <v>34</v>
      </c>
      <c r="D46" s="133" t="s">
        <v>40</v>
      </c>
      <c r="E46" s="134" t="s">
        <v>37</v>
      </c>
      <c r="F46" s="134" t="s">
        <v>2055</v>
      </c>
      <c r="G46" s="135" t="str">
        <f>VLOOKUP(A46,Plano_V3!$A$26:$G$753,7,0)</f>
        <v>6. Em implementação (re-especificação)</v>
      </c>
      <c r="H46" s="135"/>
      <c r="I46" s="142"/>
      <c r="J46" s="408" t="str">
        <f>IF(VLOOKUP(A46,'Aux - pivots1'!$A:$E,3,0)=0, "",VLOOKUP(A46,'Aux - pivots1'!$A:$E,3,0))</f>
        <v/>
      </c>
      <c r="K46" s="408" t="str">
        <f>IF(VLOOKUP(A46,'Aux - pivots1'!$A:$E,4,0)=0, "",VLOOKUP(A46,'Aux - pivots1'!$A:$E,4,0))</f>
        <v/>
      </c>
      <c r="L46" s="152" t="str">
        <f>IF(VLOOKUP(A46,'Aux - pivots1'!$A:$E,5,0)=0, "",VLOOKUP(A46,'Aux - pivots1'!$A:$E,5,0))</f>
        <v/>
      </c>
      <c r="M46" s="205"/>
      <c r="N46" s="205"/>
      <c r="O46" s="338" t="s">
        <v>27</v>
      </c>
    </row>
    <row r="47" spans="1:15" ht="16.2" customHeight="1">
      <c r="A47" s="29" t="str">
        <f t="shared" si="0"/>
        <v>ENERGY_CERTIFICATE_EST_INPUTCLASSE_ENERGETICA</v>
      </c>
      <c r="B47" s="141" t="s">
        <v>26</v>
      </c>
      <c r="C47" s="137" t="s">
        <v>34</v>
      </c>
      <c r="D47" s="133" t="s">
        <v>40</v>
      </c>
      <c r="E47" s="134" t="s">
        <v>37</v>
      </c>
      <c r="F47" s="134" t="s">
        <v>2056</v>
      </c>
      <c r="G47" s="135" t="str">
        <f>VLOOKUP(A47,Plano_V3!$A$26:$G$753,7,0)</f>
        <v>6. Em implementação (re-especificação)</v>
      </c>
      <c r="H47" s="135"/>
      <c r="I47" s="142"/>
      <c r="J47" s="408" t="str">
        <f>IF(VLOOKUP(A47,'Aux - pivots1'!$A:$E,3,0)=0, "",VLOOKUP(A47,'Aux - pivots1'!$A:$E,3,0))</f>
        <v/>
      </c>
      <c r="K47" s="408" t="str">
        <f>IF(VLOOKUP(A47,'Aux - pivots1'!$A:$E,4,0)=0, "",VLOOKUP(A47,'Aux - pivots1'!$A:$E,4,0))</f>
        <v/>
      </c>
      <c r="L47" s="152" t="str">
        <f>IF(VLOOKUP(A47,'Aux - pivots1'!$A:$E,5,0)=0, "",VLOOKUP(A47,'Aux - pivots1'!$A:$E,5,0))</f>
        <v/>
      </c>
      <c r="M47" s="205"/>
      <c r="N47" s="205"/>
      <c r="O47" s="338" t="s">
        <v>27</v>
      </c>
    </row>
    <row r="48" spans="1:15" ht="16.2" customHeight="1">
      <c r="A48" s="29" t="str">
        <f t="shared" si="0"/>
        <v>ENERGY_CERTIFICATE_EST_INPUTFIABILIDAD</v>
      </c>
      <c r="B48" s="141" t="s">
        <v>26</v>
      </c>
      <c r="C48" s="137" t="s">
        <v>34</v>
      </c>
      <c r="D48" s="133" t="s">
        <v>40</v>
      </c>
      <c r="E48" s="134" t="s">
        <v>37</v>
      </c>
      <c r="F48" s="134" t="s">
        <v>2057</v>
      </c>
      <c r="G48" s="135" t="str">
        <f>VLOOKUP(A48,Plano_V3!$A$26:$G$753,7,0)</f>
        <v>6. Em implementação (re-especificação)</v>
      </c>
      <c r="H48" s="135"/>
      <c r="I48" s="142"/>
      <c r="J48" s="408" t="str">
        <f>IF(VLOOKUP(A48,'Aux - pivots1'!$A:$E,3,0)=0, "",VLOOKUP(A48,'Aux - pivots1'!$A:$E,3,0))</f>
        <v/>
      </c>
      <c r="K48" s="408" t="str">
        <f>IF(VLOOKUP(A48,'Aux - pivots1'!$A:$E,4,0)=0, "",VLOOKUP(A48,'Aux - pivots1'!$A:$E,4,0))</f>
        <v/>
      </c>
      <c r="L48" s="152" t="str">
        <f>IF(VLOOKUP(A48,'Aux - pivots1'!$A:$E,5,0)=0, "",VLOOKUP(A48,'Aux - pivots1'!$A:$E,5,0))</f>
        <v/>
      </c>
      <c r="M48" s="205"/>
      <c r="N48" s="205"/>
      <c r="O48" s="338" t="s">
        <v>27</v>
      </c>
    </row>
    <row r="49" spans="1:15" ht="16.2" customHeight="1">
      <c r="A49" s="29" t="str">
        <f t="shared" si="0"/>
        <v>ENERGY_CERTIFICATE_EST_INPUTEMISSIONES</v>
      </c>
      <c r="B49" s="141" t="s">
        <v>26</v>
      </c>
      <c r="C49" s="137" t="s">
        <v>34</v>
      </c>
      <c r="D49" s="133" t="s">
        <v>40</v>
      </c>
      <c r="E49" s="134" t="s">
        <v>37</v>
      </c>
      <c r="F49" s="134" t="s">
        <v>2058</v>
      </c>
      <c r="G49" s="135" t="str">
        <f>VLOOKUP(A49,Plano_V3!$A$26:$G$753,7,0)</f>
        <v>6. Em implementação (re-especificação)</v>
      </c>
      <c r="H49" s="135"/>
      <c r="I49" s="142"/>
      <c r="J49" s="408" t="str">
        <f>IF(VLOOKUP(A49,'Aux - pivots1'!$A:$E,3,0)=0, "",VLOOKUP(A49,'Aux - pivots1'!$A:$E,3,0))</f>
        <v/>
      </c>
      <c r="K49" s="408" t="str">
        <f>IF(VLOOKUP(A49,'Aux - pivots1'!$A:$E,4,0)=0, "",VLOOKUP(A49,'Aux - pivots1'!$A:$E,4,0))</f>
        <v/>
      </c>
      <c r="L49" s="152" t="str">
        <f>IF(VLOOKUP(A49,'Aux - pivots1'!$A:$E,5,0)=0, "",VLOOKUP(A49,'Aux - pivots1'!$A:$E,5,0))</f>
        <v/>
      </c>
      <c r="M49" s="205"/>
      <c r="N49" s="205"/>
      <c r="O49" s="338" t="s">
        <v>27</v>
      </c>
    </row>
    <row r="50" spans="1:15" ht="16.2" customHeight="1">
      <c r="A50" s="29" t="str">
        <f t="shared" si="0"/>
        <v>ENERGY_CERTIFICATE_EST_INPUTCONSUMOS</v>
      </c>
      <c r="B50" s="141" t="s">
        <v>26</v>
      </c>
      <c r="C50" s="137" t="s">
        <v>34</v>
      </c>
      <c r="D50" s="133" t="s">
        <v>40</v>
      </c>
      <c r="E50" s="134" t="s">
        <v>37</v>
      </c>
      <c r="F50" s="134" t="s">
        <v>2059</v>
      </c>
      <c r="G50" s="135" t="str">
        <f>VLOOKUP(A50,Plano_V3!$A$26:$G$753,7,0)</f>
        <v>6. Em implementação (re-especificação)</v>
      </c>
      <c r="H50" s="135"/>
      <c r="I50" s="142"/>
      <c r="J50" s="408" t="str">
        <f>IF(VLOOKUP(A50,'Aux - pivots1'!$A:$E,3,0)=0, "",VLOOKUP(A50,'Aux - pivots1'!$A:$E,3,0))</f>
        <v/>
      </c>
      <c r="K50" s="408" t="str">
        <f>IF(VLOOKUP(A50,'Aux - pivots1'!$A:$E,4,0)=0, "",VLOOKUP(A50,'Aux - pivots1'!$A:$E,4,0))</f>
        <v/>
      </c>
      <c r="L50" s="152" t="str">
        <f>IF(VLOOKUP(A50,'Aux - pivots1'!$A:$E,5,0)=0, "",VLOOKUP(A50,'Aux - pivots1'!$A:$E,5,0))</f>
        <v/>
      </c>
      <c r="M50" s="205"/>
      <c r="N50" s="205"/>
      <c r="O50" s="338" t="s">
        <v>27</v>
      </c>
    </row>
    <row r="51" spans="1:15" ht="16.2" customHeight="1">
      <c r="A51" s="29" t="str">
        <f t="shared" si="0"/>
        <v>ENERGY_CERTIFICATE_EST_INPUTDATA_ENVIO</v>
      </c>
      <c r="B51" s="141" t="s">
        <v>26</v>
      </c>
      <c r="C51" s="137" t="s">
        <v>34</v>
      </c>
      <c r="D51" s="133" t="s">
        <v>40</v>
      </c>
      <c r="E51" s="134" t="s">
        <v>37</v>
      </c>
      <c r="F51" s="134" t="s">
        <v>2060</v>
      </c>
      <c r="G51" s="135" t="str">
        <f>VLOOKUP(A51,Plano_V3!$A$26:$G$753,7,0)</f>
        <v>6. Em implementação (re-especificação)</v>
      </c>
      <c r="H51" s="135"/>
      <c r="I51" s="142"/>
      <c r="J51" s="408" t="str">
        <f>IF(VLOOKUP(A51,'Aux - pivots1'!$A:$E,3,0)=0, "",VLOOKUP(A51,'Aux - pivots1'!$A:$E,3,0))</f>
        <v/>
      </c>
      <c r="K51" s="408" t="str">
        <f>IF(VLOOKUP(A51,'Aux - pivots1'!$A:$E,4,0)=0, "",VLOOKUP(A51,'Aux - pivots1'!$A:$E,4,0))</f>
        <v/>
      </c>
      <c r="L51" s="152" t="str">
        <f>IF(VLOOKUP(A51,'Aux - pivots1'!$A:$E,5,0)=0, "",VLOOKUP(A51,'Aux - pivots1'!$A:$E,5,0))</f>
        <v/>
      </c>
      <c r="M51" s="205"/>
      <c r="N51" s="205"/>
      <c r="O51" s="338" t="s">
        <v>27</v>
      </c>
    </row>
    <row r="52" spans="1:15" ht="16.2" customHeight="1">
      <c r="A52" s="29" t="str">
        <f t="shared" si="0"/>
        <v>PROCESSn.a.</v>
      </c>
      <c r="B52" s="141" t="s">
        <v>26</v>
      </c>
      <c r="C52" s="137" t="s">
        <v>54</v>
      </c>
      <c r="D52" s="133" t="s">
        <v>36</v>
      </c>
      <c r="E52" s="134" t="s">
        <v>55</v>
      </c>
      <c r="F52" s="133" t="s">
        <v>38</v>
      </c>
      <c r="G52" s="135" t="str">
        <f>VLOOKUP(A52,Plano_V3!$A$26:$G$753,7,0)</f>
        <v>1. Concluído</v>
      </c>
      <c r="H52" s="135" t="s">
        <v>612</v>
      </c>
      <c r="I52" s="142"/>
      <c r="J52" s="152" t="str">
        <f>IF(VLOOKUP(A52,'Aux - pivots1'!$A:$E,3,0)=0, "",VLOOKUP(A52,'Aux - pivots1'!$A:$E,3,0))</f>
        <v/>
      </c>
      <c r="K52" s="152" t="str">
        <f>IF(VLOOKUP(A52,'Aux - pivots1'!$A:$E,4,0)=0, "",VLOOKUP(A52,'Aux - pivots1'!$A:$E,4,0))</f>
        <v/>
      </c>
      <c r="L52" s="152" t="str">
        <f>IF(VLOOKUP(A52,'Aux - pivots1'!$A:$E,5,0)=0, "",VLOOKUP(A52,'Aux - pivots1'!$A:$E,5,0))</f>
        <v/>
      </c>
      <c r="M52" s="205"/>
      <c r="N52" s="205"/>
      <c r="O52" s="338" t="s">
        <v>27</v>
      </c>
    </row>
    <row r="53" spans="1:15" ht="16.2"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t="s">
        <v>644</v>
      </c>
      <c r="J53" s="152" t="str">
        <f>IF(VLOOKUP(A53,'Aux - pivots1'!$A:$E,3,0)=0, "",VLOOKUP(A53,'Aux - pivots1'!$A:$E,3,0))</f>
        <v/>
      </c>
      <c r="K53" s="152" t="str">
        <f>IF(VLOOKUP(A53,'Aux - pivots1'!$A:$E,4,0)=0, "",VLOOKUP(A53,'Aux - pivots1'!$A:$E,4,0))</f>
        <v/>
      </c>
      <c r="L53" s="152" t="str">
        <f>IF(VLOOKUP(A53,'Aux - pivots1'!$A:$E,5,0)=0, "",VLOOKUP(A53,'Aux - pivots1'!$A:$E,5,0))</f>
        <v/>
      </c>
      <c r="M53" s="205"/>
      <c r="N53" s="205"/>
      <c r="O53" s="338" t="s">
        <v>27</v>
      </c>
    </row>
    <row r="54" spans="1:15" ht="16.2"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t="s">
        <v>644</v>
      </c>
      <c r="J54" s="152" t="str">
        <f>IF(VLOOKUP(A54,'Aux - pivots1'!$A:$E,3,0)=0, "",VLOOKUP(A54,'Aux - pivots1'!$A:$E,3,0))</f>
        <v/>
      </c>
      <c r="K54" s="152" t="str">
        <f>IF(VLOOKUP(A54,'Aux - pivots1'!$A:$E,4,0)=0, "",VLOOKUP(A54,'Aux - pivots1'!$A:$E,4,0))</f>
        <v/>
      </c>
      <c r="L54" s="152" t="str">
        <f>IF(VLOOKUP(A54,'Aux - pivots1'!$A:$E,5,0)=0, "",VLOOKUP(A54,'Aux - pivots1'!$A:$E,5,0))</f>
        <v/>
      </c>
      <c r="M54" s="205"/>
      <c r="N54" s="205"/>
      <c r="O54" s="338" t="s">
        <v>27</v>
      </c>
    </row>
    <row r="55" spans="1:15" ht="16.2"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t="s">
        <v>644</v>
      </c>
      <c r="J55" s="152" t="str">
        <f>IF(VLOOKUP(A55,'Aux - pivots1'!$A:$E,3,0)=0, "",VLOOKUP(A55,'Aux - pivots1'!$A:$E,3,0))</f>
        <v/>
      </c>
      <c r="K55" s="152" t="str">
        <f>IF(VLOOKUP(A55,'Aux - pivots1'!$A:$E,4,0)=0, "",VLOOKUP(A55,'Aux - pivots1'!$A:$E,4,0))</f>
        <v/>
      </c>
      <c r="L55" s="152" t="str">
        <f>IF(VLOOKUP(A55,'Aux - pivots1'!$A:$E,5,0)=0, "",VLOOKUP(A55,'Aux - pivots1'!$A:$E,5,0))</f>
        <v/>
      </c>
      <c r="M55" s="205"/>
      <c r="N55" s="205"/>
      <c r="O55" s="338" t="s">
        <v>27</v>
      </c>
    </row>
    <row r="56" spans="1:15" ht="16.2" customHeight="1">
      <c r="A56" s="29" t="str">
        <f t="shared" si="0"/>
        <v>PROCESScod_estd_prcs</v>
      </c>
      <c r="B56" s="141" t="s">
        <v>26</v>
      </c>
      <c r="C56" s="137" t="s">
        <v>54</v>
      </c>
      <c r="D56" s="133" t="s">
        <v>40</v>
      </c>
      <c r="E56" s="134" t="s">
        <v>55</v>
      </c>
      <c r="F56" s="133" t="s">
        <v>60</v>
      </c>
      <c r="G56" s="135" t="str">
        <f>VLOOKUP(A56,Plano_V3!$A$26:$G$753,7,0)</f>
        <v>0. Cancelado</v>
      </c>
      <c r="H56" s="135" t="s">
        <v>611</v>
      </c>
      <c r="I56" s="142" t="s">
        <v>645</v>
      </c>
      <c r="J56" s="152" t="str">
        <f>IF(VLOOKUP(A56,'Aux - pivots1'!$A:$E,3,0)=0, "",VLOOKUP(A56,'Aux - pivots1'!$A:$E,3,0))</f>
        <v/>
      </c>
      <c r="K56" s="152" t="str">
        <f>IF(VLOOKUP(A56,'Aux - pivots1'!$A:$E,4,0)=0, "",VLOOKUP(A56,'Aux - pivots1'!$A:$E,4,0))</f>
        <v/>
      </c>
      <c r="L56" s="152" t="str">
        <f>IF(VLOOKUP(A56,'Aux - pivots1'!$A:$E,5,0)=0, "",VLOOKUP(A56,'Aux - pivots1'!$A:$E,5,0))</f>
        <v/>
      </c>
      <c r="M56" s="205"/>
      <c r="N56" s="205"/>
      <c r="O56" s="338" t="s">
        <v>27</v>
      </c>
    </row>
    <row r="57" spans="1:15" ht="16.2"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52" t="str">
        <f>IF(VLOOKUP(A57,'Aux - pivots1'!$A:$E,3,0)=0, "",VLOOKUP(A57,'Aux - pivots1'!$A:$E,3,0))</f>
        <v/>
      </c>
      <c r="K57" s="152" t="str">
        <f>IF(VLOOKUP(A57,'Aux - pivots1'!$A:$E,4,0)=0, "",VLOOKUP(A57,'Aux - pivots1'!$A:$E,4,0))</f>
        <v/>
      </c>
      <c r="L57" s="152" t="str">
        <f>IF(VLOOKUP(A57,'Aux - pivots1'!$A:$E,5,0)=0, "",VLOOKUP(A57,'Aux - pivots1'!$A:$E,5,0))</f>
        <v/>
      </c>
      <c r="M57" s="205"/>
      <c r="N57" s="205"/>
      <c r="O57" s="338" t="s">
        <v>27</v>
      </c>
    </row>
    <row r="58" spans="1:15" ht="16.2"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52" t="str">
        <f>IF(VLOOKUP(A58,'Aux - pivots1'!$A:$E,3,0)=0, "",VLOOKUP(A58,'Aux - pivots1'!$A:$E,3,0))</f>
        <v/>
      </c>
      <c r="K58" s="152" t="str">
        <f>IF(VLOOKUP(A58,'Aux - pivots1'!$A:$E,4,0)=0, "",VLOOKUP(A58,'Aux - pivots1'!$A:$E,4,0))</f>
        <v/>
      </c>
      <c r="L58" s="152" t="str">
        <f>IF(VLOOKUP(A58,'Aux - pivots1'!$A:$E,5,0)=0, "",VLOOKUP(A58,'Aux - pivots1'!$A:$E,5,0))</f>
        <v/>
      </c>
      <c r="M58" s="205"/>
      <c r="N58" s="205"/>
      <c r="O58" s="338" t="s">
        <v>27</v>
      </c>
    </row>
    <row r="59" spans="1:15" ht="16.2"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52" t="str">
        <f>IF(VLOOKUP(A59,'Aux - pivots1'!$A:$E,3,0)=0, "",VLOOKUP(A59,'Aux - pivots1'!$A:$E,3,0))</f>
        <v/>
      </c>
      <c r="K59" s="152" t="str">
        <f>IF(VLOOKUP(A59,'Aux - pivots1'!$A:$E,4,0)=0, "",VLOOKUP(A59,'Aux - pivots1'!$A:$E,4,0))</f>
        <v/>
      </c>
      <c r="L59" s="152" t="str">
        <f>IF(VLOOKUP(A59,'Aux - pivots1'!$A:$E,5,0)=0, "",VLOOKUP(A59,'Aux - pivots1'!$A:$E,5,0))</f>
        <v/>
      </c>
      <c r="M59" s="205"/>
      <c r="N59" s="205"/>
      <c r="O59" s="338" t="s">
        <v>27</v>
      </c>
    </row>
    <row r="60" spans="1:15" ht="16.2"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52" t="str">
        <f>IF(VLOOKUP(A60,'Aux - pivots1'!$A:$E,3,0)=0, "",VLOOKUP(A60,'Aux - pivots1'!$A:$E,3,0))</f>
        <v/>
      </c>
      <c r="K60" s="152" t="str">
        <f>IF(VLOOKUP(A60,'Aux - pivots1'!$A:$E,4,0)=0, "",VLOOKUP(A60,'Aux - pivots1'!$A:$E,4,0))</f>
        <v/>
      </c>
      <c r="L60" s="152" t="str">
        <f>IF(VLOOKUP(A60,'Aux - pivots1'!$A:$E,5,0)=0, "",VLOOKUP(A60,'Aux - pivots1'!$A:$E,5,0))</f>
        <v/>
      </c>
      <c r="M60" s="205"/>
      <c r="N60" s="205"/>
      <c r="O60" s="338" t="s">
        <v>27</v>
      </c>
    </row>
    <row r="61" spans="1:15" ht="16.2"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52" t="str">
        <f>IF(VLOOKUP(A61,'Aux - pivots1'!$A:$E,3,0)=0, "",VLOOKUP(A61,'Aux - pivots1'!$A:$E,3,0))</f>
        <v/>
      </c>
      <c r="K61" s="152" t="str">
        <f>IF(VLOOKUP(A61,'Aux - pivots1'!$A:$E,4,0)=0, "",VLOOKUP(A61,'Aux - pivots1'!$A:$E,4,0))</f>
        <v/>
      </c>
      <c r="L61" s="152" t="str">
        <f>IF(VLOOKUP(A61,'Aux - pivots1'!$A:$E,5,0)=0, "",VLOOKUP(A61,'Aux - pivots1'!$A:$E,5,0))</f>
        <v/>
      </c>
      <c r="M61" s="205"/>
      <c r="N61" s="205"/>
      <c r="O61" s="338" t="s">
        <v>27</v>
      </c>
    </row>
    <row r="62" spans="1:15" ht="16.2"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52" t="str">
        <f>IF(VLOOKUP(A62,'Aux - pivots1'!$A:$E,3,0)=0, "",VLOOKUP(A62,'Aux - pivots1'!$A:$E,3,0))</f>
        <v/>
      </c>
      <c r="K62" s="152" t="str">
        <f>IF(VLOOKUP(A62,'Aux - pivots1'!$A:$E,4,0)=0, "",VLOOKUP(A62,'Aux - pivots1'!$A:$E,4,0))</f>
        <v/>
      </c>
      <c r="L62" s="152" t="str">
        <f>IF(VLOOKUP(A62,'Aux - pivots1'!$A:$E,5,0)=0, "",VLOOKUP(A62,'Aux - pivots1'!$A:$E,5,0))</f>
        <v/>
      </c>
      <c r="M62" s="205"/>
      <c r="N62" s="205"/>
      <c r="O62" s="338" t="s">
        <v>27</v>
      </c>
    </row>
    <row r="63" spans="1:15" ht="16.2"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52" t="str">
        <f>IF(VLOOKUP(A63,'Aux - pivots1'!$A:$E,3,0)=0, "",VLOOKUP(A63,'Aux - pivots1'!$A:$E,3,0))</f>
        <v/>
      </c>
      <c r="K63" s="152" t="str">
        <f>IF(VLOOKUP(A63,'Aux - pivots1'!$A:$E,4,0)=0, "",VLOOKUP(A63,'Aux - pivots1'!$A:$E,4,0))</f>
        <v/>
      </c>
      <c r="L63" s="152" t="str">
        <f>IF(VLOOKUP(A63,'Aux - pivots1'!$A:$E,5,0)=0, "",VLOOKUP(A63,'Aux - pivots1'!$A:$E,5,0))</f>
        <v/>
      </c>
      <c r="M63" s="205"/>
      <c r="N63" s="205"/>
      <c r="O63" s="338" t="s">
        <v>27</v>
      </c>
    </row>
    <row r="64" spans="1:15" ht="16.2"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52" t="str">
        <f>IF(VLOOKUP(A64,'Aux - pivots1'!$A:$E,3,0)=0, "",VLOOKUP(A64,'Aux - pivots1'!$A:$E,3,0))</f>
        <v/>
      </c>
      <c r="K64" s="152" t="str">
        <f>IF(VLOOKUP(A64,'Aux - pivots1'!$A:$E,4,0)=0, "",VLOOKUP(A64,'Aux - pivots1'!$A:$E,4,0))</f>
        <v/>
      </c>
      <c r="L64" s="152" t="str">
        <f>IF(VLOOKUP(A64,'Aux - pivots1'!$A:$E,5,0)=0, "",VLOOKUP(A64,'Aux - pivots1'!$A:$E,5,0))</f>
        <v/>
      </c>
      <c r="M64" s="205"/>
      <c r="N64" s="205"/>
      <c r="O64" s="338" t="s">
        <v>27</v>
      </c>
    </row>
    <row r="65" spans="1:15" ht="16.2"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52" t="str">
        <f>IF(VLOOKUP(A65,'Aux - pivots1'!$A:$E,3,0)=0, "",VLOOKUP(A65,'Aux - pivots1'!$A:$E,3,0))</f>
        <v/>
      </c>
      <c r="K65" s="152" t="str">
        <f>IF(VLOOKUP(A65,'Aux - pivots1'!$A:$E,4,0)=0, "",VLOOKUP(A65,'Aux - pivots1'!$A:$E,4,0))</f>
        <v/>
      </c>
      <c r="L65" s="152" t="str">
        <f>IF(VLOOKUP(A65,'Aux - pivots1'!$A:$E,5,0)=0, "",VLOOKUP(A65,'Aux - pivots1'!$A:$E,5,0))</f>
        <v/>
      </c>
      <c r="M65" s="205"/>
      <c r="N65" s="205"/>
      <c r="O65" s="338" t="s">
        <v>27</v>
      </c>
    </row>
    <row r="66" spans="1:15" ht="16.2" customHeight="1">
      <c r="A66" s="29" t="str">
        <f t="shared" si="0"/>
        <v>PROCESSmontante_eur</v>
      </c>
      <c r="B66" s="141" t="s">
        <v>26</v>
      </c>
      <c r="C66" s="137" t="s">
        <v>54</v>
      </c>
      <c r="D66" s="133" t="s">
        <v>40</v>
      </c>
      <c r="E66" s="134" t="s">
        <v>55</v>
      </c>
      <c r="F66" s="133" t="s">
        <v>70</v>
      </c>
      <c r="G66" s="135" t="str">
        <f>VLOOKUP(A66,Plano_V3!$A$26:$G$753,7,0)</f>
        <v>0. Cancelado</v>
      </c>
      <c r="H66" s="135" t="s">
        <v>611</v>
      </c>
      <c r="I66" s="142" t="s">
        <v>645</v>
      </c>
      <c r="J66" s="152" t="str">
        <f>IF(VLOOKUP(A66,'Aux - pivots1'!$A:$E,3,0)=0, "",VLOOKUP(A66,'Aux - pivots1'!$A:$E,3,0))</f>
        <v/>
      </c>
      <c r="K66" s="152" t="str">
        <f>IF(VLOOKUP(A66,'Aux - pivots1'!$A:$E,4,0)=0, "",VLOOKUP(A66,'Aux - pivots1'!$A:$E,4,0))</f>
        <v/>
      </c>
      <c r="L66" s="152" t="str">
        <f>IF(VLOOKUP(A66,'Aux - pivots1'!$A:$E,5,0)=0, "",VLOOKUP(A66,'Aux - pivots1'!$A:$E,5,0))</f>
        <v/>
      </c>
      <c r="M66" s="205"/>
      <c r="N66" s="205"/>
      <c r="O66" s="338" t="s">
        <v>27</v>
      </c>
    </row>
    <row r="67" spans="1:15" ht="16.2" customHeight="1">
      <c r="A67" s="29" t="str">
        <f t="shared" si="0"/>
        <v>PROCESSmontante_org</v>
      </c>
      <c r="B67" s="141" t="s">
        <v>26</v>
      </c>
      <c r="C67" s="137" t="s">
        <v>54</v>
      </c>
      <c r="D67" s="133" t="s">
        <v>40</v>
      </c>
      <c r="E67" s="134" t="s">
        <v>55</v>
      </c>
      <c r="F67" s="133" t="s">
        <v>71</v>
      </c>
      <c r="G67" s="135" t="str">
        <f>VLOOKUP(A67,Plano_V3!$A$26:$G$753,7,0)</f>
        <v>0. Cancelado</v>
      </c>
      <c r="H67" s="135" t="s">
        <v>611</v>
      </c>
      <c r="I67" s="142" t="s">
        <v>645</v>
      </c>
      <c r="J67" s="152" t="str">
        <f>IF(VLOOKUP(A67,'Aux - pivots1'!$A:$E,3,0)=0, "",VLOOKUP(A67,'Aux - pivots1'!$A:$E,3,0))</f>
        <v/>
      </c>
      <c r="K67" s="152" t="str">
        <f>IF(VLOOKUP(A67,'Aux - pivots1'!$A:$E,4,0)=0, "",VLOOKUP(A67,'Aux - pivots1'!$A:$E,4,0))</f>
        <v/>
      </c>
      <c r="L67" s="152" t="str">
        <f>IF(VLOOKUP(A67,'Aux - pivots1'!$A:$E,5,0)=0, "",VLOOKUP(A67,'Aux - pivots1'!$A:$E,5,0))</f>
        <v/>
      </c>
      <c r="M67" s="205"/>
      <c r="N67" s="205"/>
      <c r="O67" s="338" t="s">
        <v>27</v>
      </c>
    </row>
    <row r="68" spans="1:15" ht="16.2" customHeight="1">
      <c r="A68" s="29" t="str">
        <f t="shared" si="0"/>
        <v>PROCESSorigem</v>
      </c>
      <c r="B68" s="141" t="s">
        <v>26</v>
      </c>
      <c r="C68" s="137" t="s">
        <v>54</v>
      </c>
      <c r="D68" s="133" t="s">
        <v>40</v>
      </c>
      <c r="E68" s="134" t="s">
        <v>55</v>
      </c>
      <c r="F68" s="133" t="s">
        <v>72</v>
      </c>
      <c r="G68" s="135" t="str">
        <f>VLOOKUP(A68,Plano_V3!$A$26:$G$753,7,0)</f>
        <v>0. Cancelado</v>
      </c>
      <c r="H68" s="135" t="s">
        <v>611</v>
      </c>
      <c r="I68" s="142" t="s">
        <v>646</v>
      </c>
      <c r="J68" s="152" t="str">
        <f>IF(VLOOKUP(A68,'Aux - pivots1'!$A:$E,3,0)=0, "",VLOOKUP(A68,'Aux - pivots1'!$A:$E,3,0))</f>
        <v/>
      </c>
      <c r="K68" s="152" t="str">
        <f>IF(VLOOKUP(A68,'Aux - pivots1'!$A:$E,4,0)=0, "",VLOOKUP(A68,'Aux - pivots1'!$A:$E,4,0))</f>
        <v/>
      </c>
      <c r="L68" s="152" t="str">
        <f>IF(VLOOKUP(A68,'Aux - pivots1'!$A:$E,5,0)=0, "",VLOOKUP(A68,'Aux - pivots1'!$A:$E,5,0))</f>
        <v/>
      </c>
      <c r="M68" s="205"/>
      <c r="N68" s="205"/>
      <c r="O68" s="338" t="s">
        <v>27</v>
      </c>
    </row>
    <row r="69" spans="1:15" ht="16.2"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52" t="str">
        <f>IF(VLOOKUP(A69,'Aux - pivots1'!$A:$E,3,0)=0, "",VLOOKUP(A69,'Aux - pivots1'!$A:$E,3,0))</f>
        <v/>
      </c>
      <c r="K69" s="152" t="str">
        <f>IF(VLOOKUP(A69,'Aux - pivots1'!$A:$E,4,0)=0, "",VLOOKUP(A69,'Aux - pivots1'!$A:$E,4,0))</f>
        <v/>
      </c>
      <c r="L69" s="152" t="str">
        <f>IF(VLOOKUP(A69,'Aux - pivots1'!$A:$E,5,0)=0, "",VLOOKUP(A69,'Aux - pivots1'!$A:$E,5,0))</f>
        <v/>
      </c>
      <c r="M69" s="205"/>
      <c r="N69" s="205"/>
      <c r="O69" s="338" t="s">
        <v>27</v>
      </c>
    </row>
    <row r="70" spans="1:15" ht="16.2"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52" t="str">
        <f>IF(VLOOKUP(A70,'Aux - pivots1'!$A:$E,3,0)=0, "",VLOOKUP(A70,'Aux - pivots1'!$A:$E,3,0))</f>
        <v/>
      </c>
      <c r="K70" s="152" t="str">
        <f>IF(VLOOKUP(A70,'Aux - pivots1'!$A:$E,4,0)=0, "",VLOOKUP(A70,'Aux - pivots1'!$A:$E,4,0))</f>
        <v/>
      </c>
      <c r="L70" s="152" t="str">
        <f>IF(VLOOKUP(A70,'Aux - pivots1'!$A:$E,5,0)=0, "",VLOOKUP(A70,'Aux - pivots1'!$A:$E,5,0))</f>
        <v/>
      </c>
      <c r="M70" s="205"/>
      <c r="N70" s="205"/>
      <c r="O70" s="338" t="s">
        <v>27</v>
      </c>
    </row>
    <row r="71" spans="1:15" ht="16.2"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t="s">
        <v>644</v>
      </c>
      <c r="J71" s="152" t="str">
        <f>IF(VLOOKUP(A71,'Aux - pivots1'!$A:$E,3,0)=0, "",VLOOKUP(A71,'Aux - pivots1'!$A:$E,3,0))</f>
        <v/>
      </c>
      <c r="K71" s="152" t="str">
        <f>IF(VLOOKUP(A71,'Aux - pivots1'!$A:$E,4,0)=0, "",VLOOKUP(A71,'Aux - pivots1'!$A:$E,4,0))</f>
        <v/>
      </c>
      <c r="L71" s="152" t="str">
        <f>IF(VLOOKUP(A71,'Aux - pivots1'!$A:$E,5,0)=0, "",VLOOKUP(A71,'Aux - pivots1'!$A:$E,5,0))</f>
        <v/>
      </c>
      <c r="M71" s="205"/>
      <c r="N71" s="205"/>
      <c r="O71" s="338" t="s">
        <v>27</v>
      </c>
    </row>
    <row r="72" spans="1:15" ht="16.2"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t="s">
        <v>644</v>
      </c>
      <c r="J72" s="152" t="str">
        <f>IF(VLOOKUP(A72,'Aux - pivots1'!$A:$E,3,0)=0, "",VLOOKUP(A72,'Aux - pivots1'!$A:$E,3,0))</f>
        <v/>
      </c>
      <c r="K72" s="152" t="str">
        <f>IF(VLOOKUP(A72,'Aux - pivots1'!$A:$E,4,0)=0, "",VLOOKUP(A72,'Aux - pivots1'!$A:$E,4,0))</f>
        <v/>
      </c>
      <c r="L72" s="152" t="str">
        <f>IF(VLOOKUP(A72,'Aux - pivots1'!$A:$E,5,0)=0, "",VLOOKUP(A72,'Aux - pivots1'!$A:$E,5,0))</f>
        <v/>
      </c>
      <c r="M72" s="205"/>
      <c r="N72" s="205"/>
      <c r="O72" s="338" t="s">
        <v>27</v>
      </c>
    </row>
    <row r="73" spans="1:15" ht="16.2"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t="s">
        <v>644</v>
      </c>
      <c r="J73" s="152" t="str">
        <f>IF(VLOOKUP(A73,'Aux - pivots1'!$A:$E,3,0)=0, "",VLOOKUP(A73,'Aux - pivots1'!$A:$E,3,0))</f>
        <v/>
      </c>
      <c r="K73" s="152" t="str">
        <f>IF(VLOOKUP(A73,'Aux - pivots1'!$A:$E,4,0)=0, "",VLOOKUP(A73,'Aux - pivots1'!$A:$E,4,0))</f>
        <v/>
      </c>
      <c r="L73" s="152" t="str">
        <f>IF(VLOOKUP(A73,'Aux - pivots1'!$A:$E,5,0)=0, "",VLOOKUP(A73,'Aux - pivots1'!$A:$E,5,0))</f>
        <v/>
      </c>
      <c r="M73" s="205"/>
      <c r="N73" s="205"/>
      <c r="O73" s="338" t="s">
        <v>27</v>
      </c>
    </row>
    <row r="74" spans="1:15" ht="16.2"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t="s">
        <v>644</v>
      </c>
      <c r="J74" s="152" t="str">
        <f>IF(VLOOKUP(A74,'Aux - pivots1'!$A:$E,3,0)=0, "",VLOOKUP(A74,'Aux - pivots1'!$A:$E,3,0))</f>
        <v/>
      </c>
      <c r="K74" s="152" t="str">
        <f>IF(VLOOKUP(A74,'Aux - pivots1'!$A:$E,4,0)=0, "",VLOOKUP(A74,'Aux - pivots1'!$A:$E,4,0))</f>
        <v/>
      </c>
      <c r="L74" s="152" t="str">
        <f>IF(VLOOKUP(A74,'Aux - pivots1'!$A:$E,5,0)=0, "",VLOOKUP(A74,'Aux - pivots1'!$A:$E,5,0))</f>
        <v/>
      </c>
      <c r="M74" s="205"/>
      <c r="N74" s="205"/>
      <c r="O74" s="338" t="s">
        <v>27</v>
      </c>
    </row>
    <row r="75" spans="1:15" ht="16.2"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t="s">
        <v>644</v>
      </c>
      <c r="J75" s="152" t="str">
        <f>IF(VLOOKUP(A75,'Aux - pivots1'!$A:$E,3,0)=0, "",VLOOKUP(A75,'Aux - pivots1'!$A:$E,3,0))</f>
        <v/>
      </c>
      <c r="K75" s="152" t="str">
        <f>IF(VLOOKUP(A75,'Aux - pivots1'!$A:$E,4,0)=0, "",VLOOKUP(A75,'Aux - pivots1'!$A:$E,4,0))</f>
        <v/>
      </c>
      <c r="L75" s="152" t="str">
        <f>IF(VLOOKUP(A75,'Aux - pivots1'!$A:$E,5,0)=0, "",VLOOKUP(A75,'Aux - pivots1'!$A:$E,5,0))</f>
        <v/>
      </c>
      <c r="M75" s="205"/>
      <c r="N75" s="205"/>
      <c r="O75" s="338" t="s">
        <v>27</v>
      </c>
    </row>
    <row r="76" spans="1:15" ht="16.2"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t="s">
        <v>644</v>
      </c>
      <c r="J76" s="152" t="str">
        <f>IF(VLOOKUP(A76,'Aux - pivots1'!$A:$E,3,0)=0, "",VLOOKUP(A76,'Aux - pivots1'!$A:$E,3,0))</f>
        <v/>
      </c>
      <c r="K76" s="152" t="str">
        <f>IF(VLOOKUP(A76,'Aux - pivots1'!$A:$E,4,0)=0, "",VLOOKUP(A76,'Aux - pivots1'!$A:$E,4,0))</f>
        <v/>
      </c>
      <c r="L76" s="152" t="str">
        <f>IF(VLOOKUP(A76,'Aux - pivots1'!$A:$E,5,0)=0, "",VLOOKUP(A76,'Aux - pivots1'!$A:$E,5,0))</f>
        <v/>
      </c>
      <c r="M76" s="205"/>
      <c r="N76" s="205"/>
      <c r="O76" s="338" t="s">
        <v>27</v>
      </c>
    </row>
    <row r="77" spans="1:15" ht="16.2"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t="s">
        <v>644</v>
      </c>
      <c r="J77" s="152" t="str">
        <f>IF(VLOOKUP(A77,'Aux - pivots1'!$A:$E,3,0)=0, "",VLOOKUP(A77,'Aux - pivots1'!$A:$E,3,0))</f>
        <v/>
      </c>
      <c r="K77" s="152" t="str">
        <f>IF(VLOOKUP(A77,'Aux - pivots1'!$A:$E,4,0)=0, "",VLOOKUP(A77,'Aux - pivots1'!$A:$E,4,0))</f>
        <v/>
      </c>
      <c r="L77" s="152" t="str">
        <f>IF(VLOOKUP(A77,'Aux - pivots1'!$A:$E,5,0)=0, "",VLOOKUP(A77,'Aux - pivots1'!$A:$E,5,0))</f>
        <v/>
      </c>
      <c r="M77" s="205"/>
      <c r="N77" s="205"/>
      <c r="O77" s="338" t="s">
        <v>27</v>
      </c>
    </row>
    <row r="78" spans="1:15" ht="16.2"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52" t="str">
        <f>IF(VLOOKUP(A78,'Aux - pivots1'!$A:$E,3,0)=0, "",VLOOKUP(A78,'Aux - pivots1'!$A:$E,3,0))</f>
        <v/>
      </c>
      <c r="K78" s="152" t="str">
        <f>IF(VLOOKUP(A78,'Aux - pivots1'!$A:$E,4,0)=0, "",VLOOKUP(A78,'Aux - pivots1'!$A:$E,4,0))</f>
        <v/>
      </c>
      <c r="L78" s="152" t="str">
        <f>IF(VLOOKUP(A78,'Aux - pivots1'!$A:$E,5,0)=0, "",VLOOKUP(A78,'Aux - pivots1'!$A:$E,5,0))</f>
        <v/>
      </c>
      <c r="M78" s="205"/>
      <c r="N78" s="205"/>
      <c r="O78" s="338" t="s">
        <v>27</v>
      </c>
    </row>
    <row r="79" spans="1:15" ht="16.2"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52" t="str">
        <f>IF(VLOOKUP(A79,'Aux - pivots1'!$A:$E,3,0)=0, "",VLOOKUP(A79,'Aux - pivots1'!$A:$E,3,0))</f>
        <v/>
      </c>
      <c r="K79" s="152" t="str">
        <f>IF(VLOOKUP(A79,'Aux - pivots1'!$A:$E,4,0)=0, "",VLOOKUP(A79,'Aux - pivots1'!$A:$E,4,0))</f>
        <v/>
      </c>
      <c r="L79" s="152" t="str">
        <f>IF(VLOOKUP(A79,'Aux - pivots1'!$A:$E,5,0)=0, "",VLOOKUP(A79,'Aux - pivots1'!$A:$E,5,0))</f>
        <v/>
      </c>
      <c r="M79" s="205"/>
      <c r="N79" s="205"/>
      <c r="O79" s="338" t="s">
        <v>27</v>
      </c>
    </row>
    <row r="80" spans="1:15" ht="16.2"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52" t="str">
        <f>IF(VLOOKUP(A80,'Aux - pivots1'!$A:$E,3,0)=0, "",VLOOKUP(A80,'Aux - pivots1'!$A:$E,3,0))</f>
        <v/>
      </c>
      <c r="K80" s="152" t="str">
        <f>IF(VLOOKUP(A80,'Aux - pivots1'!$A:$E,4,0)=0, "",VLOOKUP(A80,'Aux - pivots1'!$A:$E,4,0))</f>
        <v/>
      </c>
      <c r="L80" s="152" t="str">
        <f>IF(VLOOKUP(A80,'Aux - pivots1'!$A:$E,5,0)=0, "",VLOOKUP(A80,'Aux - pivots1'!$A:$E,5,0))</f>
        <v/>
      </c>
      <c r="M80" s="205"/>
      <c r="N80" s="205"/>
      <c r="O80" s="338" t="s">
        <v>27</v>
      </c>
    </row>
    <row r="81" spans="1:15" ht="16.2"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t="s">
        <v>645</v>
      </c>
      <c r="J81" s="152" t="str">
        <f>IF(VLOOKUP(A81,'Aux - pivots1'!$A:$E,3,0)=0, "",VLOOKUP(A81,'Aux - pivots1'!$A:$E,3,0))</f>
        <v/>
      </c>
      <c r="K81" s="152" t="str">
        <f>IF(VLOOKUP(A81,'Aux - pivots1'!$A:$E,4,0)=0, "",VLOOKUP(A81,'Aux - pivots1'!$A:$E,4,0))</f>
        <v/>
      </c>
      <c r="L81" s="152" t="str">
        <f>IF(VLOOKUP(A81,'Aux - pivots1'!$A:$E,5,0)=0, "",VLOOKUP(A81,'Aux - pivots1'!$A:$E,5,0))</f>
        <v/>
      </c>
      <c r="M81" s="205"/>
      <c r="N81" s="205"/>
      <c r="O81" s="338" t="s">
        <v>27</v>
      </c>
    </row>
    <row r="82" spans="1:15" ht="16.2"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52" t="str">
        <f>IF(VLOOKUP(A82,'Aux - pivots1'!$A:$E,3,0)=0, "",VLOOKUP(A82,'Aux - pivots1'!$A:$E,3,0))</f>
        <v/>
      </c>
      <c r="K82" s="152" t="str">
        <f>IF(VLOOKUP(A82,'Aux - pivots1'!$A:$E,4,0)=0, "",VLOOKUP(A82,'Aux - pivots1'!$A:$E,4,0))</f>
        <v/>
      </c>
      <c r="L82" s="152" t="str">
        <f>IF(VLOOKUP(A82,'Aux - pivots1'!$A:$E,5,0)=0, "",VLOOKUP(A82,'Aux - pivots1'!$A:$E,5,0))</f>
        <v/>
      </c>
      <c r="M82" s="205"/>
      <c r="N82" s="205"/>
      <c r="O82" s="338" t="s">
        <v>27</v>
      </c>
    </row>
    <row r="83" spans="1:15" ht="16.2"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52" t="str">
        <f>IF(VLOOKUP(A83,'Aux - pivots1'!$A:$E,3,0)=0, "",VLOOKUP(A83,'Aux - pivots1'!$A:$E,3,0))</f>
        <v/>
      </c>
      <c r="K83" s="152" t="str">
        <f>IF(VLOOKUP(A83,'Aux - pivots1'!$A:$E,4,0)=0, "",VLOOKUP(A83,'Aux - pivots1'!$A:$E,4,0))</f>
        <v/>
      </c>
      <c r="L83" s="152" t="str">
        <f>IF(VLOOKUP(A83,'Aux - pivots1'!$A:$E,5,0)=0, "",VLOOKUP(A83,'Aux - pivots1'!$A:$E,5,0))</f>
        <v/>
      </c>
      <c r="M83" s="205"/>
      <c r="N83" s="205"/>
      <c r="O83" s="338" t="s">
        <v>27</v>
      </c>
    </row>
    <row r="84" spans="1:15" ht="16.2"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52" t="str">
        <f>IF(VLOOKUP(A84,'Aux - pivots1'!$A:$E,3,0)=0, "",VLOOKUP(A84,'Aux - pivots1'!$A:$E,3,0))</f>
        <v/>
      </c>
      <c r="K84" s="152" t="str">
        <f>IF(VLOOKUP(A84,'Aux - pivots1'!$A:$E,4,0)=0, "",VLOOKUP(A84,'Aux - pivots1'!$A:$E,4,0))</f>
        <v/>
      </c>
      <c r="L84" s="152" t="str">
        <f>IF(VLOOKUP(A84,'Aux - pivots1'!$A:$E,5,0)=0, "",VLOOKUP(A84,'Aux - pivots1'!$A:$E,5,0))</f>
        <v/>
      </c>
      <c r="M84" s="205"/>
      <c r="N84" s="205"/>
      <c r="O84" s="338" t="s">
        <v>27</v>
      </c>
    </row>
    <row r="85" spans="1:15" ht="16.2"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52" t="str">
        <f>IF(VLOOKUP(A85,'Aux - pivots1'!$A:$E,3,0)=0, "",VLOOKUP(A85,'Aux - pivots1'!$A:$E,3,0))</f>
        <v/>
      </c>
      <c r="K85" s="152" t="str">
        <f>IF(VLOOKUP(A85,'Aux - pivots1'!$A:$E,4,0)=0, "",VLOOKUP(A85,'Aux - pivots1'!$A:$E,4,0))</f>
        <v/>
      </c>
      <c r="L85" s="152" t="str">
        <f>IF(VLOOKUP(A85,'Aux - pivots1'!$A:$E,5,0)=0, "",VLOOKUP(A85,'Aux - pivots1'!$A:$E,5,0))</f>
        <v/>
      </c>
      <c r="M85" s="205"/>
      <c r="N85" s="205"/>
      <c r="O85" s="338" t="s">
        <v>27</v>
      </c>
    </row>
    <row r="86" spans="1:15" ht="16.2"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52" t="str">
        <f>IF(VLOOKUP(A86,'Aux - pivots1'!$A:$E,3,0)=0, "",VLOOKUP(A86,'Aux - pivots1'!$A:$E,3,0))</f>
        <v/>
      </c>
      <c r="K86" s="152" t="str">
        <f>IF(VLOOKUP(A86,'Aux - pivots1'!$A:$E,4,0)=0, "",VLOOKUP(A86,'Aux - pivots1'!$A:$E,4,0))</f>
        <v/>
      </c>
      <c r="L86" s="152" t="str">
        <f>IF(VLOOKUP(A86,'Aux - pivots1'!$A:$E,5,0)=0, "",VLOOKUP(A86,'Aux - pivots1'!$A:$E,5,0))</f>
        <v/>
      </c>
      <c r="M86" s="205"/>
      <c r="N86" s="205"/>
      <c r="O86" s="338" t="s">
        <v>27</v>
      </c>
    </row>
    <row r="87" spans="1:15" ht="16.2"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t="s">
        <v>645</v>
      </c>
      <c r="J87" s="152" t="str">
        <f>IF(VLOOKUP(A87,'Aux - pivots1'!$A:$E,3,0)=0, "",VLOOKUP(A87,'Aux - pivots1'!$A:$E,3,0))</f>
        <v/>
      </c>
      <c r="K87" s="152" t="str">
        <f>IF(VLOOKUP(A87,'Aux - pivots1'!$A:$E,4,0)=0, "",VLOOKUP(A87,'Aux - pivots1'!$A:$E,4,0))</f>
        <v/>
      </c>
      <c r="L87" s="152" t="str">
        <f>IF(VLOOKUP(A87,'Aux - pivots1'!$A:$E,5,0)=0, "",VLOOKUP(A87,'Aux - pivots1'!$A:$E,5,0))</f>
        <v/>
      </c>
      <c r="M87" s="205"/>
      <c r="N87" s="205"/>
      <c r="O87" s="338" t="s">
        <v>27</v>
      </c>
    </row>
    <row r="88" spans="1:15" ht="16.2"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t="s">
        <v>645</v>
      </c>
      <c r="J88" s="152" t="str">
        <f>IF(VLOOKUP(A88,'Aux - pivots1'!$A:$E,3,0)=0, "",VLOOKUP(A88,'Aux - pivots1'!$A:$E,3,0))</f>
        <v/>
      </c>
      <c r="K88" s="152" t="str">
        <f>IF(VLOOKUP(A88,'Aux - pivots1'!$A:$E,4,0)=0, "",VLOOKUP(A88,'Aux - pivots1'!$A:$E,4,0))</f>
        <v/>
      </c>
      <c r="L88" s="152" t="str">
        <f>IF(VLOOKUP(A88,'Aux - pivots1'!$A:$E,5,0)=0, "",VLOOKUP(A88,'Aux - pivots1'!$A:$E,5,0))</f>
        <v/>
      </c>
      <c r="M88" s="205"/>
      <c r="N88" s="205"/>
      <c r="O88" s="338" t="s">
        <v>27</v>
      </c>
    </row>
    <row r="89" spans="1:15" ht="16.2"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52" t="str">
        <f>IF(VLOOKUP(A89,'Aux - pivots1'!$A:$E,3,0)=0, "",VLOOKUP(A89,'Aux - pivots1'!$A:$E,3,0))</f>
        <v/>
      </c>
      <c r="K89" s="152" t="str">
        <f>IF(VLOOKUP(A89,'Aux - pivots1'!$A:$E,4,0)=0, "",VLOOKUP(A89,'Aux - pivots1'!$A:$E,4,0))</f>
        <v/>
      </c>
      <c r="L89" s="152" t="str">
        <f>IF(VLOOKUP(A89,'Aux - pivots1'!$A:$E,5,0)=0, "",VLOOKUP(A89,'Aux - pivots1'!$A:$E,5,0))</f>
        <v/>
      </c>
      <c r="M89" s="205"/>
      <c r="N89" s="205"/>
      <c r="O89" s="338" t="s">
        <v>27</v>
      </c>
    </row>
    <row r="90" spans="1:15" ht="16.2"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52" t="str">
        <f>IF(VLOOKUP(A90,'Aux - pivots1'!$A:$E,3,0)=0, "",VLOOKUP(A90,'Aux - pivots1'!$A:$E,3,0))</f>
        <v/>
      </c>
      <c r="K90" s="152" t="str">
        <f>IF(VLOOKUP(A90,'Aux - pivots1'!$A:$E,4,0)=0, "",VLOOKUP(A90,'Aux - pivots1'!$A:$E,4,0))</f>
        <v/>
      </c>
      <c r="L90" s="152" t="str">
        <f>IF(VLOOKUP(A90,'Aux - pivots1'!$A:$E,5,0)=0, "",VLOOKUP(A90,'Aux - pivots1'!$A:$E,5,0))</f>
        <v/>
      </c>
      <c r="M90" s="205"/>
      <c r="N90" s="205"/>
      <c r="O90" s="338" t="s">
        <v>27</v>
      </c>
    </row>
    <row r="91" spans="1:15" ht="16.2"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52" t="str">
        <f>IF(VLOOKUP(A91,'Aux - pivots1'!$A:$E,3,0)=0, "",VLOOKUP(A91,'Aux - pivots1'!$A:$E,3,0))</f>
        <v/>
      </c>
      <c r="K91" s="152" t="str">
        <f>IF(VLOOKUP(A91,'Aux - pivots1'!$A:$E,4,0)=0, "",VLOOKUP(A91,'Aux - pivots1'!$A:$E,4,0))</f>
        <v/>
      </c>
      <c r="L91" s="152" t="str">
        <f>IF(VLOOKUP(A91,'Aux - pivots1'!$A:$E,5,0)=0, "",VLOOKUP(A91,'Aux - pivots1'!$A:$E,5,0))</f>
        <v/>
      </c>
      <c r="M91" s="205"/>
      <c r="N91" s="205"/>
      <c r="O91" s="338" t="s">
        <v>27</v>
      </c>
    </row>
    <row r="92" spans="1:15" ht="16.2"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2" t="str">
        <f>IF(VLOOKUP(A92,'Aux - pivots1'!$A:$E,3,0)=0, "",VLOOKUP(A92,'Aux - pivots1'!$A:$E,3,0))</f>
        <v/>
      </c>
      <c r="K92" s="152" t="str">
        <f>IF(VLOOKUP(A92,'Aux - pivots1'!$A:$E,4,0)=0, "",VLOOKUP(A92,'Aux - pivots1'!$A:$E,4,0))</f>
        <v/>
      </c>
      <c r="L92" s="152" t="str">
        <f>IF(VLOOKUP(A92,'Aux - pivots1'!$A:$E,5,0)=0, "",VLOOKUP(A92,'Aux - pivots1'!$A:$E,5,0))</f>
        <v/>
      </c>
      <c r="M92" s="205"/>
      <c r="N92" s="205"/>
      <c r="O92" s="338" t="s">
        <v>27</v>
      </c>
    </row>
    <row r="93" spans="1:15" ht="16.2"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t="s">
        <v>644</v>
      </c>
      <c r="J93" s="152" t="str">
        <f>IF(VLOOKUP(A93,'Aux - pivots1'!$A:$E,3,0)=0, "",VLOOKUP(A93,'Aux - pivots1'!$A:$E,3,0))</f>
        <v/>
      </c>
      <c r="K93" s="152" t="str">
        <f>IF(VLOOKUP(A93,'Aux - pivots1'!$A:$E,4,0)=0, "",VLOOKUP(A93,'Aux - pivots1'!$A:$E,4,0))</f>
        <v/>
      </c>
      <c r="L93" s="152" t="str">
        <f>IF(VLOOKUP(A93,'Aux - pivots1'!$A:$E,5,0)=0, "",VLOOKUP(A93,'Aux - pivots1'!$A:$E,5,0))</f>
        <v/>
      </c>
      <c r="M93" s="205"/>
      <c r="N93" s="205"/>
      <c r="O93" s="338" t="s">
        <v>27</v>
      </c>
    </row>
    <row r="94" spans="1:15" ht="16.2"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t="s">
        <v>644</v>
      </c>
      <c r="J94" s="152" t="str">
        <f>IF(VLOOKUP(A94,'Aux - pivots1'!$A:$E,3,0)=0, "",VLOOKUP(A94,'Aux - pivots1'!$A:$E,3,0))</f>
        <v/>
      </c>
      <c r="K94" s="152" t="str">
        <f>IF(VLOOKUP(A94,'Aux - pivots1'!$A:$E,4,0)=0, "",VLOOKUP(A94,'Aux - pivots1'!$A:$E,4,0))</f>
        <v/>
      </c>
      <c r="L94" s="152" t="str">
        <f>IF(VLOOKUP(A94,'Aux - pivots1'!$A:$E,5,0)=0, "",VLOOKUP(A94,'Aux - pivots1'!$A:$E,5,0))</f>
        <v/>
      </c>
      <c r="M94" s="205"/>
      <c r="N94" s="205"/>
      <c r="O94" s="338" t="s">
        <v>27</v>
      </c>
    </row>
    <row r="95" spans="1:15" ht="16.2"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t="s">
        <v>644</v>
      </c>
      <c r="J95" s="152" t="str">
        <f>IF(VLOOKUP(A95,'Aux - pivots1'!$A:$E,3,0)=0, "",VLOOKUP(A95,'Aux - pivots1'!$A:$E,3,0))</f>
        <v/>
      </c>
      <c r="K95" s="152" t="str">
        <f>IF(VLOOKUP(A95,'Aux - pivots1'!$A:$E,4,0)=0, "",VLOOKUP(A95,'Aux - pivots1'!$A:$E,4,0))</f>
        <v/>
      </c>
      <c r="L95" s="152" t="str">
        <f>IF(VLOOKUP(A95,'Aux - pivots1'!$A:$E,5,0)=0, "",VLOOKUP(A95,'Aux - pivots1'!$A:$E,5,0))</f>
        <v/>
      </c>
      <c r="M95" s="205"/>
      <c r="N95" s="205"/>
      <c r="O95" s="338" t="s">
        <v>27</v>
      </c>
    </row>
    <row r="96" spans="1:15" ht="16.2"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t="s">
        <v>644</v>
      </c>
      <c r="J96" s="152" t="str">
        <f>IF(VLOOKUP(A96,'Aux - pivots1'!$A:$E,3,0)=0, "",VLOOKUP(A96,'Aux - pivots1'!$A:$E,3,0))</f>
        <v/>
      </c>
      <c r="K96" s="152" t="str">
        <f>IF(VLOOKUP(A96,'Aux - pivots1'!$A:$E,4,0)=0, "",VLOOKUP(A96,'Aux - pivots1'!$A:$E,4,0))</f>
        <v/>
      </c>
      <c r="L96" s="152" t="str">
        <f>IF(VLOOKUP(A96,'Aux - pivots1'!$A:$E,5,0)=0, "",VLOOKUP(A96,'Aux - pivots1'!$A:$E,5,0))</f>
        <v/>
      </c>
      <c r="M96" s="205"/>
      <c r="N96" s="205"/>
      <c r="O96" s="338" t="s">
        <v>27</v>
      </c>
    </row>
    <row r="97" spans="1:15" ht="16.2"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t="s">
        <v>644</v>
      </c>
      <c r="J97" s="152" t="str">
        <f>IF(VLOOKUP(A97,'Aux - pivots1'!$A:$E,3,0)=0, "",VLOOKUP(A97,'Aux - pivots1'!$A:$E,3,0))</f>
        <v/>
      </c>
      <c r="K97" s="152" t="str">
        <f>IF(VLOOKUP(A97,'Aux - pivots1'!$A:$E,4,0)=0, "",VLOOKUP(A97,'Aux - pivots1'!$A:$E,4,0))</f>
        <v/>
      </c>
      <c r="L97" s="152" t="str">
        <f>IF(VLOOKUP(A97,'Aux - pivots1'!$A:$E,5,0)=0, "",VLOOKUP(A97,'Aux - pivots1'!$A:$E,5,0))</f>
        <v/>
      </c>
      <c r="M97" s="205"/>
      <c r="N97" s="205"/>
      <c r="O97" s="338" t="s">
        <v>27</v>
      </c>
    </row>
    <row r="98" spans="1:15" ht="16.2"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2" t="str">
        <f>IF(VLOOKUP(A98,'Aux - pivots1'!$A:$E,3,0)=0, "",VLOOKUP(A98,'Aux - pivots1'!$A:$E,3,0))</f>
        <v/>
      </c>
      <c r="K98" s="152" t="str">
        <f>IF(VLOOKUP(A98,'Aux - pivots1'!$A:$E,4,0)=0, "",VLOOKUP(A98,'Aux - pivots1'!$A:$E,4,0))</f>
        <v/>
      </c>
      <c r="L98" s="152" t="str">
        <f>IF(VLOOKUP(A98,'Aux - pivots1'!$A:$E,5,0)=0, "",VLOOKUP(A98,'Aux - pivots1'!$A:$E,5,0))</f>
        <v/>
      </c>
      <c r="M98" s="205"/>
      <c r="N98" s="205"/>
      <c r="O98" s="338" t="s">
        <v>27</v>
      </c>
    </row>
    <row r="99" spans="1:15" ht="16.2"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52" t="str">
        <f>IF(VLOOKUP(A99,'Aux - pivots1'!$A:$E,3,0)=0, "",VLOOKUP(A99,'Aux - pivots1'!$A:$E,3,0))</f>
        <v/>
      </c>
      <c r="K99" s="152" t="str">
        <f>IF(VLOOKUP(A99,'Aux - pivots1'!$A:$E,4,0)=0, "",VLOOKUP(A99,'Aux - pivots1'!$A:$E,4,0))</f>
        <v/>
      </c>
      <c r="L99" s="152" t="str">
        <f>IF(VLOOKUP(A99,'Aux - pivots1'!$A:$E,5,0)=0, "",VLOOKUP(A99,'Aux - pivots1'!$A:$E,5,0))</f>
        <v/>
      </c>
      <c r="M99" s="205"/>
      <c r="N99" s="205"/>
      <c r="O99" s="338" t="s">
        <v>27</v>
      </c>
    </row>
    <row r="100" spans="1:15" ht="16.2"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t="s">
        <v>645</v>
      </c>
      <c r="J100" s="152" t="str">
        <f>IF(VLOOKUP(A100,'Aux - pivots1'!$A:$E,3,0)=0, "",VLOOKUP(A100,'Aux - pivots1'!$A:$E,3,0))</f>
        <v/>
      </c>
      <c r="K100" s="152" t="str">
        <f>IF(VLOOKUP(A100,'Aux - pivots1'!$A:$E,4,0)=0, "",VLOOKUP(A100,'Aux - pivots1'!$A:$E,4,0))</f>
        <v/>
      </c>
      <c r="L100" s="152" t="str">
        <f>IF(VLOOKUP(A100,'Aux - pivots1'!$A:$E,5,0)=0, "",VLOOKUP(A100,'Aux - pivots1'!$A:$E,5,0))</f>
        <v/>
      </c>
      <c r="M100" s="205"/>
      <c r="N100" s="205"/>
      <c r="O100" s="338" t="s">
        <v>27</v>
      </c>
    </row>
    <row r="101" spans="1:15" ht="16.2"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2" t="str">
        <f>IF(VLOOKUP(A101,'Aux - pivots1'!$A:$E,3,0)=0, "",VLOOKUP(A101,'Aux - pivots1'!$A:$E,3,0))</f>
        <v/>
      </c>
      <c r="K101" s="152" t="str">
        <f>IF(VLOOKUP(A101,'Aux - pivots1'!$A:$E,4,0)=0, "",VLOOKUP(A101,'Aux - pivots1'!$A:$E,4,0))</f>
        <v/>
      </c>
      <c r="L101" s="152" t="str">
        <f>IF(VLOOKUP(A101,'Aux - pivots1'!$A:$E,5,0)=0, "",VLOOKUP(A101,'Aux - pivots1'!$A:$E,5,0))</f>
        <v/>
      </c>
      <c r="M101" s="205"/>
      <c r="N101" s="205"/>
      <c r="O101" s="338" t="s">
        <v>27</v>
      </c>
    </row>
    <row r="102" spans="1:15" ht="16.2"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2" t="str">
        <f>IF(VLOOKUP(A102,'Aux - pivots1'!$A:$E,3,0)=0, "",VLOOKUP(A102,'Aux - pivots1'!$A:$E,3,0))</f>
        <v/>
      </c>
      <c r="K102" s="152" t="str">
        <f>IF(VLOOKUP(A102,'Aux - pivots1'!$A:$E,4,0)=0, "",VLOOKUP(A102,'Aux - pivots1'!$A:$E,4,0))</f>
        <v/>
      </c>
      <c r="L102" s="152" t="str">
        <f>IF(VLOOKUP(A102,'Aux - pivots1'!$A:$E,5,0)=0, "",VLOOKUP(A102,'Aux - pivots1'!$A:$E,5,0))</f>
        <v/>
      </c>
      <c r="M102" s="205"/>
      <c r="N102" s="205"/>
      <c r="O102" s="338" t="s">
        <v>27</v>
      </c>
    </row>
    <row r="103" spans="1:15" ht="16.2"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2" t="str">
        <f>IF(VLOOKUP(A103,'Aux - pivots1'!$A:$E,3,0)=0, "",VLOOKUP(A103,'Aux - pivots1'!$A:$E,3,0))</f>
        <v/>
      </c>
      <c r="K103" s="152" t="str">
        <f>IF(VLOOKUP(A103,'Aux - pivots1'!$A:$E,4,0)=0, "",VLOOKUP(A103,'Aux - pivots1'!$A:$E,4,0))</f>
        <v/>
      </c>
      <c r="L103" s="152" t="str">
        <f>IF(VLOOKUP(A103,'Aux - pivots1'!$A:$E,5,0)=0, "",VLOOKUP(A103,'Aux - pivots1'!$A:$E,5,0))</f>
        <v/>
      </c>
      <c r="M103" s="205"/>
      <c r="N103" s="205"/>
      <c r="O103" s="338" t="s">
        <v>27</v>
      </c>
    </row>
    <row r="104" spans="1:15" ht="16.2"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2" t="str">
        <f>IF(VLOOKUP(A104,'Aux - pivots1'!$A:$E,3,0)=0, "",VLOOKUP(A104,'Aux - pivots1'!$A:$E,3,0))</f>
        <v/>
      </c>
      <c r="K104" s="152" t="str">
        <f>IF(VLOOKUP(A104,'Aux - pivots1'!$A:$E,4,0)=0, "",VLOOKUP(A104,'Aux - pivots1'!$A:$E,4,0))</f>
        <v/>
      </c>
      <c r="L104" s="152" t="str">
        <f>IF(VLOOKUP(A104,'Aux - pivots1'!$A:$E,5,0)=0, "",VLOOKUP(A104,'Aux - pivots1'!$A:$E,5,0))</f>
        <v/>
      </c>
      <c r="M104" s="205"/>
      <c r="N104" s="205"/>
      <c r="O104" s="338" t="s">
        <v>27</v>
      </c>
    </row>
    <row r="105" spans="1:15" ht="16.2"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2" t="str">
        <f>IF(VLOOKUP(A105,'Aux - pivots1'!$A:$E,3,0)=0, "",VLOOKUP(A105,'Aux - pivots1'!$A:$E,3,0))</f>
        <v/>
      </c>
      <c r="K105" s="152" t="str">
        <f>IF(VLOOKUP(A105,'Aux - pivots1'!$A:$E,4,0)=0, "",VLOOKUP(A105,'Aux - pivots1'!$A:$E,4,0))</f>
        <v/>
      </c>
      <c r="L105" s="152" t="str">
        <f>IF(VLOOKUP(A105,'Aux - pivots1'!$A:$E,5,0)=0, "",VLOOKUP(A105,'Aux - pivots1'!$A:$E,5,0))</f>
        <v/>
      </c>
      <c r="M105" s="205"/>
      <c r="N105" s="205"/>
      <c r="O105" s="338" t="s">
        <v>27</v>
      </c>
    </row>
    <row r="106" spans="1:15" ht="16.2"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2" t="str">
        <f>IF(VLOOKUP(A106,'Aux - pivots1'!$A:$E,3,0)=0, "",VLOOKUP(A106,'Aux - pivots1'!$A:$E,3,0))</f>
        <v/>
      </c>
      <c r="K106" s="152" t="str">
        <f>IF(VLOOKUP(A106,'Aux - pivots1'!$A:$E,4,0)=0, "",VLOOKUP(A106,'Aux - pivots1'!$A:$E,4,0))</f>
        <v/>
      </c>
      <c r="L106" s="152" t="str">
        <f>IF(VLOOKUP(A106,'Aux - pivots1'!$A:$E,5,0)=0, "",VLOOKUP(A106,'Aux - pivots1'!$A:$E,5,0))</f>
        <v/>
      </c>
      <c r="M106" s="205"/>
      <c r="N106" s="205"/>
      <c r="O106" s="338" t="s">
        <v>27</v>
      </c>
    </row>
    <row r="107" spans="1:15" ht="16.2"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52" t="str">
        <f>IF(VLOOKUP(A107,'Aux - pivots1'!$A:$E,3,0)=0, "",VLOOKUP(A107,'Aux - pivots1'!$A:$E,3,0))</f>
        <v/>
      </c>
      <c r="K107" s="152" t="str">
        <f>IF(VLOOKUP(A107,'Aux - pivots1'!$A:$E,4,0)=0, "",VLOOKUP(A107,'Aux - pivots1'!$A:$E,4,0))</f>
        <v/>
      </c>
      <c r="L107" s="152" t="str">
        <f>IF(VLOOKUP(A107,'Aux - pivots1'!$A:$E,5,0)=0, "",VLOOKUP(A107,'Aux - pivots1'!$A:$E,5,0))</f>
        <v/>
      </c>
      <c r="M107" s="205"/>
      <c r="N107" s="205"/>
      <c r="O107" s="338" t="s">
        <v>27</v>
      </c>
    </row>
    <row r="108" spans="1:15" ht="16.2"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52" t="str">
        <f>IF(VLOOKUP(A108,'Aux - pivots1'!$A:$E,3,0)=0, "",VLOOKUP(A108,'Aux - pivots1'!$A:$E,3,0))</f>
        <v/>
      </c>
      <c r="K108" s="152" t="str">
        <f>IF(VLOOKUP(A108,'Aux - pivots1'!$A:$E,4,0)=0, "",VLOOKUP(A108,'Aux - pivots1'!$A:$E,4,0))</f>
        <v/>
      </c>
      <c r="L108" s="152" t="str">
        <f>IF(VLOOKUP(A108,'Aux - pivots1'!$A:$E,5,0)=0, "",VLOOKUP(A108,'Aux - pivots1'!$A:$E,5,0))</f>
        <v/>
      </c>
      <c r="M108" s="205"/>
      <c r="N108" s="205"/>
      <c r="O108" s="338" t="s">
        <v>27</v>
      </c>
    </row>
    <row r="109" spans="1:15" ht="16.2"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52" t="str">
        <f>IF(VLOOKUP(A109,'Aux - pivots1'!$A:$E,3,0)=0, "",VLOOKUP(A109,'Aux - pivots1'!$A:$E,3,0))</f>
        <v/>
      </c>
      <c r="K109" s="152" t="str">
        <f>IF(VLOOKUP(A109,'Aux - pivots1'!$A:$E,4,0)=0, "",VLOOKUP(A109,'Aux - pivots1'!$A:$E,4,0))</f>
        <v/>
      </c>
      <c r="L109" s="152" t="str">
        <f>IF(VLOOKUP(A109,'Aux - pivots1'!$A:$E,5,0)=0, "",VLOOKUP(A109,'Aux - pivots1'!$A:$E,5,0))</f>
        <v/>
      </c>
      <c r="M109" s="205"/>
      <c r="N109" s="205"/>
      <c r="O109" s="338" t="s">
        <v>27</v>
      </c>
    </row>
    <row r="110" spans="1:15" ht="16.2"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2" t="str">
        <f>IF(VLOOKUP(A110,'Aux - pivots1'!$A:$E,3,0)=0, "",VLOOKUP(A110,'Aux - pivots1'!$A:$E,3,0))</f>
        <v/>
      </c>
      <c r="K110" s="152" t="str">
        <f>IF(VLOOKUP(A110,'Aux - pivots1'!$A:$E,4,0)=0, "",VLOOKUP(A110,'Aux - pivots1'!$A:$E,4,0))</f>
        <v/>
      </c>
      <c r="L110" s="152" t="str">
        <f>IF(VLOOKUP(A110,'Aux - pivots1'!$A:$E,5,0)=0, "",VLOOKUP(A110,'Aux - pivots1'!$A:$E,5,0))</f>
        <v/>
      </c>
      <c r="M110" s="205"/>
      <c r="N110" s="205"/>
      <c r="O110" s="338" t="s">
        <v>27</v>
      </c>
    </row>
    <row r="111" spans="1:15" ht="16.2"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2" t="str">
        <f>IF(VLOOKUP(A111,'Aux - pivots1'!$A:$E,3,0)=0, "",VLOOKUP(A111,'Aux - pivots1'!$A:$E,3,0))</f>
        <v/>
      </c>
      <c r="K111" s="152" t="str">
        <f>IF(VLOOKUP(A111,'Aux - pivots1'!$A:$E,4,0)=0, "",VLOOKUP(A111,'Aux - pivots1'!$A:$E,4,0))</f>
        <v/>
      </c>
      <c r="L111" s="152" t="str">
        <f>IF(VLOOKUP(A111,'Aux - pivots1'!$A:$E,5,0)=0, "",VLOOKUP(A111,'Aux - pivots1'!$A:$E,5,0))</f>
        <v/>
      </c>
      <c r="M111" s="205"/>
      <c r="N111" s="205"/>
      <c r="O111" s="338" t="s">
        <v>27</v>
      </c>
    </row>
    <row r="112" spans="1:15" ht="16.2"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2" t="str">
        <f>IF(VLOOKUP(A112,'Aux - pivots1'!$A:$E,3,0)=0, "",VLOOKUP(A112,'Aux - pivots1'!$A:$E,3,0))</f>
        <v/>
      </c>
      <c r="K112" s="152" t="str">
        <f>IF(VLOOKUP(A112,'Aux - pivots1'!$A:$E,4,0)=0, "",VLOOKUP(A112,'Aux - pivots1'!$A:$E,4,0))</f>
        <v/>
      </c>
      <c r="L112" s="152" t="str">
        <f>IF(VLOOKUP(A112,'Aux - pivots1'!$A:$E,5,0)=0, "",VLOOKUP(A112,'Aux - pivots1'!$A:$E,5,0))</f>
        <v/>
      </c>
      <c r="M112" s="205"/>
      <c r="N112" s="205"/>
      <c r="O112" s="338" t="s">
        <v>27</v>
      </c>
    </row>
    <row r="113" spans="1:15" ht="16.2"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2" t="str">
        <f>IF(VLOOKUP(A113,'Aux - pivots1'!$A:$E,3,0)=0, "",VLOOKUP(A113,'Aux - pivots1'!$A:$E,3,0))</f>
        <v/>
      </c>
      <c r="K113" s="152" t="str">
        <f>IF(VLOOKUP(A113,'Aux - pivots1'!$A:$E,4,0)=0, "",VLOOKUP(A113,'Aux - pivots1'!$A:$E,4,0))</f>
        <v/>
      </c>
      <c r="L113" s="152" t="str">
        <f>IF(VLOOKUP(A113,'Aux - pivots1'!$A:$E,5,0)=0, "",VLOOKUP(A113,'Aux - pivots1'!$A:$E,5,0))</f>
        <v/>
      </c>
      <c r="M113" s="205"/>
      <c r="N113" s="205"/>
      <c r="O113" s="338" t="s">
        <v>27</v>
      </c>
    </row>
    <row r="114" spans="1:15" ht="16.2"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2" t="str">
        <f>IF(VLOOKUP(A114,'Aux - pivots1'!$A:$E,3,0)=0, "",VLOOKUP(A114,'Aux - pivots1'!$A:$E,3,0))</f>
        <v/>
      </c>
      <c r="K114" s="152" t="str">
        <f>IF(VLOOKUP(A114,'Aux - pivots1'!$A:$E,4,0)=0, "",VLOOKUP(A114,'Aux - pivots1'!$A:$E,4,0))</f>
        <v/>
      </c>
      <c r="L114" s="152" t="str">
        <f>IF(VLOOKUP(A114,'Aux - pivots1'!$A:$E,5,0)=0, "",VLOOKUP(A114,'Aux - pivots1'!$A:$E,5,0))</f>
        <v/>
      </c>
      <c r="M114" s="205"/>
      <c r="N114" s="205"/>
      <c r="O114" s="338" t="s">
        <v>27</v>
      </c>
    </row>
    <row r="115" spans="1:15" ht="16.2"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2" t="str">
        <f>IF(VLOOKUP(A115,'Aux - pivots1'!$A:$E,3,0)=0, "",VLOOKUP(A115,'Aux - pivots1'!$A:$E,3,0))</f>
        <v/>
      </c>
      <c r="K115" s="152" t="str">
        <f>IF(VLOOKUP(A115,'Aux - pivots1'!$A:$E,4,0)=0, "",VLOOKUP(A115,'Aux - pivots1'!$A:$E,4,0))</f>
        <v/>
      </c>
      <c r="L115" s="152" t="str">
        <f>IF(VLOOKUP(A115,'Aux - pivots1'!$A:$E,5,0)=0, "",VLOOKUP(A115,'Aux - pivots1'!$A:$E,5,0))</f>
        <v/>
      </c>
      <c r="M115" s="205"/>
      <c r="N115" s="205"/>
      <c r="O115" s="338" t="s">
        <v>27</v>
      </c>
    </row>
    <row r="116" spans="1:15" ht="16.2"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t="s">
        <v>645</v>
      </c>
      <c r="J116" s="152" t="str">
        <f>IF(VLOOKUP(A116,'Aux - pivots1'!$A:$E,3,0)=0, "",VLOOKUP(A116,'Aux - pivots1'!$A:$E,3,0))</f>
        <v/>
      </c>
      <c r="K116" s="152" t="str">
        <f>IF(VLOOKUP(A116,'Aux - pivots1'!$A:$E,4,0)=0, "",VLOOKUP(A116,'Aux - pivots1'!$A:$E,4,0))</f>
        <v/>
      </c>
      <c r="L116" s="152" t="str">
        <f>IF(VLOOKUP(A116,'Aux - pivots1'!$A:$E,5,0)=0, "",VLOOKUP(A116,'Aux - pivots1'!$A:$E,5,0))</f>
        <v/>
      </c>
      <c r="M116" s="205"/>
      <c r="N116" s="205"/>
      <c r="O116" s="338" t="s">
        <v>27</v>
      </c>
    </row>
    <row r="117" spans="1:15" ht="16.2"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2" t="str">
        <f>IF(VLOOKUP(A117,'Aux - pivots1'!$A:$E,3,0)=0, "",VLOOKUP(A117,'Aux - pivots1'!$A:$E,3,0))</f>
        <v/>
      </c>
      <c r="K117" s="152" t="str">
        <f>IF(VLOOKUP(A117,'Aux - pivots1'!$A:$E,4,0)=0, "",VLOOKUP(A117,'Aux - pivots1'!$A:$E,4,0))</f>
        <v/>
      </c>
      <c r="L117" s="152" t="str">
        <f>IF(VLOOKUP(A117,'Aux - pivots1'!$A:$E,5,0)=0, "",VLOOKUP(A117,'Aux - pivots1'!$A:$E,5,0))</f>
        <v/>
      </c>
      <c r="M117" s="205"/>
      <c r="N117" s="205"/>
      <c r="O117" s="338" t="s">
        <v>27</v>
      </c>
    </row>
    <row r="118" spans="1:15" ht="16.2"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2" t="str">
        <f>IF(VLOOKUP(A118,'Aux - pivots1'!$A:$E,3,0)=0, "",VLOOKUP(A118,'Aux - pivots1'!$A:$E,3,0))</f>
        <v/>
      </c>
      <c r="K118" s="152" t="str">
        <f>IF(VLOOKUP(A118,'Aux - pivots1'!$A:$E,4,0)=0, "",VLOOKUP(A118,'Aux - pivots1'!$A:$E,4,0))</f>
        <v/>
      </c>
      <c r="L118" s="152" t="str">
        <f>IF(VLOOKUP(A118,'Aux - pivots1'!$A:$E,5,0)=0, "",VLOOKUP(A118,'Aux - pivots1'!$A:$E,5,0))</f>
        <v/>
      </c>
      <c r="M118" s="205"/>
      <c r="N118" s="205"/>
      <c r="O118" s="338" t="s">
        <v>27</v>
      </c>
    </row>
    <row r="119" spans="1:15" ht="16.2"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2" t="str">
        <f>IF(VLOOKUP(A119,'Aux - pivots1'!$A:$E,3,0)=0, "",VLOOKUP(A119,'Aux - pivots1'!$A:$E,3,0))</f>
        <v/>
      </c>
      <c r="K119" s="152" t="str">
        <f>IF(VLOOKUP(A119,'Aux - pivots1'!$A:$E,4,0)=0, "",VLOOKUP(A119,'Aux - pivots1'!$A:$E,4,0))</f>
        <v/>
      </c>
      <c r="L119" s="152" t="str">
        <f>IF(VLOOKUP(A119,'Aux - pivots1'!$A:$E,5,0)=0, "",VLOOKUP(A119,'Aux - pivots1'!$A:$E,5,0))</f>
        <v/>
      </c>
      <c r="M119" s="205"/>
      <c r="N119" s="205"/>
      <c r="O119" s="338" t="s">
        <v>27</v>
      </c>
    </row>
    <row r="120" spans="1:15" ht="16.2"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2" t="str">
        <f>IF(VLOOKUP(A120,'Aux - pivots1'!$A:$E,3,0)=0, "",VLOOKUP(A120,'Aux - pivots1'!$A:$E,3,0))</f>
        <v/>
      </c>
      <c r="K120" s="152" t="str">
        <f>IF(VLOOKUP(A120,'Aux - pivots1'!$A:$E,4,0)=0, "",VLOOKUP(A120,'Aux - pivots1'!$A:$E,4,0))</f>
        <v/>
      </c>
      <c r="L120" s="152" t="str">
        <f>IF(VLOOKUP(A120,'Aux - pivots1'!$A:$E,5,0)=0, "",VLOOKUP(A120,'Aux - pivots1'!$A:$E,5,0))</f>
        <v/>
      </c>
      <c r="M120" s="205"/>
      <c r="N120" s="205"/>
      <c r="O120" s="338" t="s">
        <v>27</v>
      </c>
    </row>
    <row r="121" spans="1:15" ht="16.2"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2" t="str">
        <f>IF(VLOOKUP(A121,'Aux - pivots1'!$A:$E,3,0)=0, "",VLOOKUP(A121,'Aux - pivots1'!$A:$E,3,0))</f>
        <v/>
      </c>
      <c r="K121" s="152" t="str">
        <f>IF(VLOOKUP(A121,'Aux - pivots1'!$A:$E,4,0)=0, "",VLOOKUP(A121,'Aux - pivots1'!$A:$E,4,0))</f>
        <v/>
      </c>
      <c r="L121" s="152" t="str">
        <f>IF(VLOOKUP(A121,'Aux - pivots1'!$A:$E,5,0)=0, "",VLOOKUP(A121,'Aux - pivots1'!$A:$E,5,0))</f>
        <v/>
      </c>
      <c r="M121" s="205"/>
      <c r="N121" s="205"/>
      <c r="O121" s="338" t="s">
        <v>27</v>
      </c>
    </row>
    <row r="122" spans="1:15" ht="16.2"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2" t="str">
        <f>IF(VLOOKUP(A122,'Aux - pivots1'!$A:$E,3,0)=0, "",VLOOKUP(A122,'Aux - pivots1'!$A:$E,3,0))</f>
        <v/>
      </c>
      <c r="K122" s="152" t="str">
        <f>IF(VLOOKUP(A122,'Aux - pivots1'!$A:$E,4,0)=0, "",VLOOKUP(A122,'Aux - pivots1'!$A:$E,4,0))</f>
        <v/>
      </c>
      <c r="L122" s="152" t="str">
        <f>IF(VLOOKUP(A122,'Aux - pivots1'!$A:$E,5,0)=0, "",VLOOKUP(A122,'Aux - pivots1'!$A:$E,5,0))</f>
        <v/>
      </c>
      <c r="M122" s="205"/>
      <c r="N122" s="205"/>
      <c r="O122" s="338" t="s">
        <v>27</v>
      </c>
    </row>
    <row r="123" spans="1:15" ht="16.2"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2" t="str">
        <f>IF(VLOOKUP(A123,'Aux - pivots1'!$A:$E,3,0)=0, "",VLOOKUP(A123,'Aux - pivots1'!$A:$E,3,0))</f>
        <v/>
      </c>
      <c r="K123" s="152" t="str">
        <f>IF(VLOOKUP(A123,'Aux - pivots1'!$A:$E,4,0)=0, "",VLOOKUP(A123,'Aux - pivots1'!$A:$E,4,0))</f>
        <v/>
      </c>
      <c r="L123" s="152" t="str">
        <f>IF(VLOOKUP(A123,'Aux - pivots1'!$A:$E,5,0)=0, "",VLOOKUP(A123,'Aux - pivots1'!$A:$E,5,0))</f>
        <v/>
      </c>
      <c r="M123" s="205"/>
      <c r="N123" s="205"/>
      <c r="O123" s="338" t="s">
        <v>27</v>
      </c>
    </row>
    <row r="124" spans="1:15" ht="16.2"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2" t="str">
        <f>IF(VLOOKUP(A124,'Aux - pivots1'!$A:$E,3,0)=0, "",VLOOKUP(A124,'Aux - pivots1'!$A:$E,3,0))</f>
        <v/>
      </c>
      <c r="K124" s="152" t="str">
        <f>IF(VLOOKUP(A124,'Aux - pivots1'!$A:$E,4,0)=0, "",VLOOKUP(A124,'Aux - pivots1'!$A:$E,4,0))</f>
        <v/>
      </c>
      <c r="L124" s="152" t="str">
        <f>IF(VLOOKUP(A124,'Aux - pivots1'!$A:$E,5,0)=0, "",VLOOKUP(A124,'Aux - pivots1'!$A:$E,5,0))</f>
        <v/>
      </c>
      <c r="M124" s="205"/>
      <c r="N124" s="205"/>
      <c r="O124" s="338" t="s">
        <v>27</v>
      </c>
    </row>
    <row r="125" spans="1:15" ht="16.2"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2" t="str">
        <f>IF(VLOOKUP(A125,'Aux - pivots1'!$A:$E,3,0)=0, "",VLOOKUP(A125,'Aux - pivots1'!$A:$E,3,0))</f>
        <v/>
      </c>
      <c r="K125" s="152" t="str">
        <f>IF(VLOOKUP(A125,'Aux - pivots1'!$A:$E,4,0)=0, "",VLOOKUP(A125,'Aux - pivots1'!$A:$E,4,0))</f>
        <v/>
      </c>
      <c r="L125" s="152" t="str">
        <f>IF(VLOOKUP(A125,'Aux - pivots1'!$A:$E,5,0)=0, "",VLOOKUP(A125,'Aux - pivots1'!$A:$E,5,0))</f>
        <v/>
      </c>
      <c r="M125" s="205"/>
      <c r="N125" s="205"/>
      <c r="O125" s="338" t="s">
        <v>27</v>
      </c>
    </row>
    <row r="126" spans="1:15" ht="16.2"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2" t="str">
        <f>IF(VLOOKUP(A126,'Aux - pivots1'!$A:$E,3,0)=0, "",VLOOKUP(A126,'Aux - pivots1'!$A:$E,3,0))</f>
        <v/>
      </c>
      <c r="K126" s="152" t="str">
        <f>IF(VLOOKUP(A126,'Aux - pivots1'!$A:$E,4,0)=0, "",VLOOKUP(A126,'Aux - pivots1'!$A:$E,4,0))</f>
        <v/>
      </c>
      <c r="L126" s="152" t="str">
        <f>IF(VLOOKUP(A126,'Aux - pivots1'!$A:$E,5,0)=0, "",VLOOKUP(A126,'Aux - pivots1'!$A:$E,5,0))</f>
        <v/>
      </c>
      <c r="M126" s="205"/>
      <c r="N126" s="205"/>
      <c r="O126" s="338" t="s">
        <v>27</v>
      </c>
    </row>
    <row r="127" spans="1:15" ht="16.2"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2" t="str">
        <f>IF(VLOOKUP(A127,'Aux - pivots1'!$A:$E,3,0)=0, "",VLOOKUP(A127,'Aux - pivots1'!$A:$E,3,0))</f>
        <v/>
      </c>
      <c r="K127" s="152" t="str">
        <f>IF(VLOOKUP(A127,'Aux - pivots1'!$A:$E,4,0)=0, "",VLOOKUP(A127,'Aux - pivots1'!$A:$E,4,0))</f>
        <v/>
      </c>
      <c r="L127" s="152" t="str">
        <f>IF(VLOOKUP(A127,'Aux - pivots1'!$A:$E,5,0)=0, "",VLOOKUP(A127,'Aux - pivots1'!$A:$E,5,0))</f>
        <v/>
      </c>
      <c r="M127" s="205"/>
      <c r="N127" s="205"/>
      <c r="O127" s="338" t="s">
        <v>27</v>
      </c>
    </row>
    <row r="128" spans="1:15" ht="16.2"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2" t="str">
        <f>IF(VLOOKUP(A128,'Aux - pivots1'!$A:$E,3,0)=0, "",VLOOKUP(A128,'Aux - pivots1'!$A:$E,3,0))</f>
        <v/>
      </c>
      <c r="K128" s="152" t="str">
        <f>IF(VLOOKUP(A128,'Aux - pivots1'!$A:$E,4,0)=0, "",VLOOKUP(A128,'Aux - pivots1'!$A:$E,4,0))</f>
        <v/>
      </c>
      <c r="L128" s="152" t="str">
        <f>IF(VLOOKUP(A128,'Aux - pivots1'!$A:$E,5,0)=0, "",VLOOKUP(A128,'Aux - pivots1'!$A:$E,5,0))</f>
        <v/>
      </c>
      <c r="M128" s="205"/>
      <c r="N128" s="205"/>
      <c r="O128" s="338" t="s">
        <v>27</v>
      </c>
    </row>
    <row r="129" spans="1:15" ht="16.2"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2" t="str">
        <f>IF(VLOOKUP(A129,'Aux - pivots1'!$A:$E,3,0)=0, "",VLOOKUP(A129,'Aux - pivots1'!$A:$E,3,0))</f>
        <v/>
      </c>
      <c r="K129" s="152" t="str">
        <f>IF(VLOOKUP(A129,'Aux - pivots1'!$A:$E,4,0)=0, "",VLOOKUP(A129,'Aux - pivots1'!$A:$E,4,0))</f>
        <v/>
      </c>
      <c r="L129" s="152" t="str">
        <f>IF(VLOOKUP(A129,'Aux - pivots1'!$A:$E,5,0)=0, "",VLOOKUP(A129,'Aux - pivots1'!$A:$E,5,0))</f>
        <v/>
      </c>
      <c r="M129" s="205"/>
      <c r="N129" s="205"/>
      <c r="O129" s="338" t="s">
        <v>27</v>
      </c>
    </row>
    <row r="130" spans="1:15" ht="16.2"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2" t="str">
        <f>IF(VLOOKUP(A130,'Aux - pivots1'!$A:$E,3,0)=0, "",VLOOKUP(A130,'Aux - pivots1'!$A:$E,3,0))</f>
        <v/>
      </c>
      <c r="K130" s="152" t="str">
        <f>IF(VLOOKUP(A130,'Aux - pivots1'!$A:$E,4,0)=0, "",VLOOKUP(A130,'Aux - pivots1'!$A:$E,4,0))</f>
        <v/>
      </c>
      <c r="L130" s="152" t="str">
        <f>IF(VLOOKUP(A130,'Aux - pivots1'!$A:$E,5,0)=0, "",VLOOKUP(A130,'Aux - pivots1'!$A:$E,5,0))</f>
        <v/>
      </c>
      <c r="M130" s="205"/>
      <c r="N130" s="205"/>
      <c r="O130" s="338" t="s">
        <v>27</v>
      </c>
    </row>
    <row r="131" spans="1:15" ht="16.2"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2" t="str">
        <f>IF(VLOOKUP(A131,'Aux - pivots1'!$A:$E,3,0)=0, "",VLOOKUP(A131,'Aux - pivots1'!$A:$E,3,0))</f>
        <v/>
      </c>
      <c r="K131" s="152" t="str">
        <f>IF(VLOOKUP(A131,'Aux - pivots1'!$A:$E,4,0)=0, "",VLOOKUP(A131,'Aux - pivots1'!$A:$E,4,0))</f>
        <v/>
      </c>
      <c r="L131" s="152" t="str">
        <f>IF(VLOOKUP(A131,'Aux - pivots1'!$A:$E,5,0)=0, "",VLOOKUP(A131,'Aux - pivots1'!$A:$E,5,0))</f>
        <v/>
      </c>
      <c r="M131" s="205"/>
      <c r="N131" s="205"/>
      <c r="O131" s="338" t="s">
        <v>27</v>
      </c>
    </row>
    <row r="132" spans="1:15" ht="16.2"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2" t="str">
        <f>IF(VLOOKUP(A132,'Aux - pivots1'!$A:$E,3,0)=0, "",VLOOKUP(A132,'Aux - pivots1'!$A:$E,3,0))</f>
        <v/>
      </c>
      <c r="K132" s="152" t="str">
        <f>IF(VLOOKUP(A132,'Aux - pivots1'!$A:$E,4,0)=0, "",VLOOKUP(A132,'Aux - pivots1'!$A:$E,4,0))</f>
        <v/>
      </c>
      <c r="L132" s="152" t="str">
        <f>IF(VLOOKUP(A132,'Aux - pivots1'!$A:$E,5,0)=0, "",VLOOKUP(A132,'Aux - pivots1'!$A:$E,5,0))</f>
        <v/>
      </c>
      <c r="M132" s="205"/>
      <c r="N132" s="205"/>
      <c r="O132" s="338" t="s">
        <v>27</v>
      </c>
    </row>
    <row r="133" spans="1:15" ht="16.2"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2" t="str">
        <f>IF(VLOOKUP(A133,'Aux - pivots1'!$A:$E,3,0)=0, "",VLOOKUP(A133,'Aux - pivots1'!$A:$E,3,0))</f>
        <v/>
      </c>
      <c r="K133" s="152" t="str">
        <f>IF(VLOOKUP(A133,'Aux - pivots1'!$A:$E,4,0)=0, "",VLOOKUP(A133,'Aux - pivots1'!$A:$E,4,0))</f>
        <v/>
      </c>
      <c r="L133" s="152" t="str">
        <f>IF(VLOOKUP(A133,'Aux - pivots1'!$A:$E,5,0)=0, "",VLOOKUP(A133,'Aux - pivots1'!$A:$E,5,0))</f>
        <v/>
      </c>
      <c r="M133" s="205"/>
      <c r="N133" s="205"/>
      <c r="O133" s="338" t="s">
        <v>27</v>
      </c>
    </row>
    <row r="134" spans="1:15" ht="16.2"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2" t="str">
        <f>IF(VLOOKUP(A134,'Aux - pivots1'!$A:$E,3,0)=0, "",VLOOKUP(A134,'Aux - pivots1'!$A:$E,3,0))</f>
        <v/>
      </c>
      <c r="K134" s="152" t="str">
        <f>IF(VLOOKUP(A134,'Aux - pivots1'!$A:$E,4,0)=0, "",VLOOKUP(A134,'Aux - pivots1'!$A:$E,4,0))</f>
        <v/>
      </c>
      <c r="L134" s="152" t="str">
        <f>IF(VLOOKUP(A134,'Aux - pivots1'!$A:$E,5,0)=0, "",VLOOKUP(A134,'Aux - pivots1'!$A:$E,5,0))</f>
        <v/>
      </c>
      <c r="M134" s="205"/>
      <c r="N134" s="205"/>
      <c r="O134" s="338" t="s">
        <v>27</v>
      </c>
    </row>
    <row r="135" spans="1:15" ht="16.2"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t="s">
        <v>646</v>
      </c>
      <c r="J135" s="152" t="str">
        <f>IF(VLOOKUP(A135,'Aux - pivots1'!$A:$E,3,0)=0, "",VLOOKUP(A135,'Aux - pivots1'!$A:$E,3,0))</f>
        <v/>
      </c>
      <c r="K135" s="152" t="str">
        <f>IF(VLOOKUP(A135,'Aux - pivots1'!$A:$E,4,0)=0, "",VLOOKUP(A135,'Aux - pivots1'!$A:$E,4,0))</f>
        <v/>
      </c>
      <c r="L135" s="152" t="str">
        <f>IF(VLOOKUP(A135,'Aux - pivots1'!$A:$E,5,0)=0, "",VLOOKUP(A135,'Aux - pivots1'!$A:$E,5,0))</f>
        <v/>
      </c>
      <c r="M135" s="205"/>
      <c r="N135" s="205"/>
      <c r="O135" s="338" t="s">
        <v>27</v>
      </c>
    </row>
    <row r="136" spans="1:15" ht="16.2"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t="s">
        <v>647</v>
      </c>
      <c r="J136" s="152" t="str">
        <f>IF(VLOOKUP(A136,'Aux - pivots1'!$A:$E,3,0)=0, "",VLOOKUP(A136,'Aux - pivots1'!$A:$E,3,0))</f>
        <v/>
      </c>
      <c r="K136" s="152" t="str">
        <f>IF(VLOOKUP(A136,'Aux - pivots1'!$A:$E,4,0)=0, "",VLOOKUP(A136,'Aux - pivots1'!$A:$E,4,0))</f>
        <v/>
      </c>
      <c r="L136" s="152" t="str">
        <f>IF(VLOOKUP(A136,'Aux - pivots1'!$A:$E,5,0)=0, "",VLOOKUP(A136,'Aux - pivots1'!$A:$E,5,0))</f>
        <v/>
      </c>
      <c r="M136" s="205"/>
      <c r="N136" s="205"/>
      <c r="O136" s="338" t="s">
        <v>27</v>
      </c>
    </row>
    <row r="137" spans="1:15" ht="16.2"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t="s">
        <v>647</v>
      </c>
      <c r="J137" s="152" t="str">
        <f>IF(VLOOKUP(A137,'Aux - pivots1'!$A:$E,3,0)=0, "",VLOOKUP(A137,'Aux - pivots1'!$A:$E,3,0))</f>
        <v/>
      </c>
      <c r="K137" s="152" t="str">
        <f>IF(VLOOKUP(A137,'Aux - pivots1'!$A:$E,4,0)=0, "",VLOOKUP(A137,'Aux - pivots1'!$A:$E,4,0))</f>
        <v/>
      </c>
      <c r="L137" s="152" t="str">
        <f>IF(VLOOKUP(A137,'Aux - pivots1'!$A:$E,5,0)=0, "",VLOOKUP(A137,'Aux - pivots1'!$A:$E,5,0))</f>
        <v/>
      </c>
      <c r="M137" s="205"/>
      <c r="N137" s="205"/>
      <c r="O137" s="338" t="s">
        <v>27</v>
      </c>
    </row>
    <row r="138" spans="1:15" ht="16.2"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2" t="str">
        <f>IF(VLOOKUP(A138,'Aux - pivots1'!$A:$E,3,0)=0, "",VLOOKUP(A138,'Aux - pivots1'!$A:$E,3,0))</f>
        <v/>
      </c>
      <c r="K138" s="152" t="str">
        <f>IF(VLOOKUP(A138,'Aux - pivots1'!$A:$E,4,0)=0, "",VLOOKUP(A138,'Aux - pivots1'!$A:$E,4,0))</f>
        <v/>
      </c>
      <c r="L138" s="152" t="str">
        <f>IF(VLOOKUP(A138,'Aux - pivots1'!$A:$E,5,0)=0, "",VLOOKUP(A138,'Aux - pivots1'!$A:$E,5,0))</f>
        <v/>
      </c>
      <c r="M138" s="205"/>
      <c r="N138" s="205"/>
      <c r="O138" s="338" t="s">
        <v>27</v>
      </c>
    </row>
    <row r="139" spans="1:15" ht="16.2" customHeight="1">
      <c r="A139" s="29" t="str">
        <f t="shared" si="2"/>
        <v>PROPERTYPROPERTY_CODE</v>
      </c>
      <c r="B139" s="141" t="s">
        <v>26</v>
      </c>
      <c r="C139" s="137" t="s">
        <v>54</v>
      </c>
      <c r="D139" s="133" t="s">
        <v>40</v>
      </c>
      <c r="E139" s="134" t="s">
        <v>94</v>
      </c>
      <c r="F139" s="421" t="s">
        <v>2225</v>
      </c>
      <c r="G139" s="135" t="str">
        <f>VLOOKUP(A139,Plano_V3!$A$26:$G$753,7,0)</f>
        <v>1. Concluído</v>
      </c>
      <c r="H139" s="135" t="s">
        <v>612</v>
      </c>
      <c r="I139" s="153"/>
      <c r="J139" s="152" t="str">
        <f>IF(VLOOKUP(A139,'Aux - pivots1'!$A:$E,3,0)=0, "",VLOOKUP(A139,'Aux - pivots1'!$A:$E,3,0))</f>
        <v/>
      </c>
      <c r="K139" s="152" t="str">
        <f>IF(VLOOKUP(A139,'Aux - pivots1'!$A:$E,4,0)=0, "",VLOOKUP(A139,'Aux - pivots1'!$A:$E,4,0))</f>
        <v/>
      </c>
      <c r="L139" s="152" t="str">
        <f>IF(VLOOKUP(A139,'Aux - pivots1'!$A:$E,5,0)=0, "",VLOOKUP(A139,'Aux - pivots1'!$A:$E,5,0))</f>
        <v/>
      </c>
      <c r="M139" s="205"/>
      <c r="N139" s="205"/>
      <c r="O139" s="338" t="s">
        <v>27</v>
      </c>
    </row>
    <row r="140" spans="1:15" ht="16.2"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2" t="str">
        <f>IF(VLOOKUP(A140,'Aux - pivots1'!$A:$E,3,0)=0, "",VLOOKUP(A140,'Aux - pivots1'!$A:$E,3,0))</f>
        <v/>
      </c>
      <c r="K140" s="152" t="str">
        <f>IF(VLOOKUP(A140,'Aux - pivots1'!$A:$E,4,0)=0, "",VLOOKUP(A140,'Aux - pivots1'!$A:$E,4,0))</f>
        <v/>
      </c>
      <c r="L140" s="152" t="str">
        <f>IF(VLOOKUP(A140,'Aux - pivots1'!$A:$E,5,0)=0, "",VLOOKUP(A140,'Aux - pivots1'!$A:$E,5,0))</f>
        <v/>
      </c>
      <c r="M140" s="205"/>
      <c r="N140" s="205"/>
      <c r="O140" s="338" t="s">
        <v>27</v>
      </c>
    </row>
    <row r="141" spans="1:15" ht="16.2"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52" t="str">
        <f>IF(VLOOKUP(A141,'Aux - pivots1'!$A:$E,3,0)=0, "",VLOOKUP(A141,'Aux - pivots1'!$A:$E,3,0))</f>
        <v/>
      </c>
      <c r="K141" s="152" t="str">
        <f>IF(VLOOKUP(A141,'Aux - pivots1'!$A:$E,4,0)=0, "",VLOOKUP(A141,'Aux - pivots1'!$A:$E,4,0))</f>
        <v/>
      </c>
      <c r="L141" s="152" t="str">
        <f>IF(VLOOKUP(A141,'Aux - pivots1'!$A:$E,5,0)=0, "",VLOOKUP(A141,'Aux - pivots1'!$A:$E,5,0))</f>
        <v/>
      </c>
      <c r="M141" s="205"/>
      <c r="N141" s="205"/>
      <c r="O141" s="338" t="s">
        <v>27</v>
      </c>
    </row>
    <row r="142" spans="1:15" ht="16.2"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52" t="str">
        <f>IF(VLOOKUP(A142,'Aux - pivots1'!$A:$E,3,0)=0, "",VLOOKUP(A142,'Aux - pivots1'!$A:$E,3,0))</f>
        <v/>
      </c>
      <c r="K142" s="152" t="str">
        <f>IF(VLOOKUP(A142,'Aux - pivots1'!$A:$E,4,0)=0, "",VLOOKUP(A142,'Aux - pivots1'!$A:$E,4,0))</f>
        <v/>
      </c>
      <c r="L142" s="152" t="str">
        <f>IF(VLOOKUP(A142,'Aux - pivots1'!$A:$E,5,0)=0, "",VLOOKUP(A142,'Aux - pivots1'!$A:$E,5,0))</f>
        <v/>
      </c>
      <c r="M142" s="205"/>
      <c r="N142" s="205"/>
      <c r="O142" s="338" t="s">
        <v>27</v>
      </c>
    </row>
    <row r="143" spans="1:15" ht="16.2"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52" t="str">
        <f>IF(VLOOKUP(A143,'Aux - pivots1'!$A:$E,3,0)=0, "",VLOOKUP(A143,'Aux - pivots1'!$A:$E,3,0))</f>
        <v/>
      </c>
      <c r="K143" s="152" t="str">
        <f>IF(VLOOKUP(A143,'Aux - pivots1'!$A:$E,4,0)=0, "",VLOOKUP(A143,'Aux - pivots1'!$A:$E,4,0))</f>
        <v/>
      </c>
      <c r="L143" s="152" t="str">
        <f>IF(VLOOKUP(A143,'Aux - pivots1'!$A:$E,5,0)=0, "",VLOOKUP(A143,'Aux - pivots1'!$A:$E,5,0))</f>
        <v/>
      </c>
      <c r="M143" s="205"/>
      <c r="N143" s="205"/>
      <c r="O143" s="338" t="s">
        <v>27</v>
      </c>
    </row>
    <row r="144" spans="1:15" ht="16.2"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52" t="str">
        <f>IF(VLOOKUP(A144,'Aux - pivots1'!$A:$E,3,0)=0, "",VLOOKUP(A144,'Aux - pivots1'!$A:$E,3,0))</f>
        <v/>
      </c>
      <c r="K144" s="152" t="str">
        <f>IF(VLOOKUP(A144,'Aux - pivots1'!$A:$E,4,0)=0, "",VLOOKUP(A144,'Aux - pivots1'!$A:$E,4,0))</f>
        <v/>
      </c>
      <c r="L144" s="152" t="str">
        <f>IF(VLOOKUP(A144,'Aux - pivots1'!$A:$E,5,0)=0, "",VLOOKUP(A144,'Aux - pivots1'!$A:$E,5,0))</f>
        <v/>
      </c>
      <c r="M144" s="205"/>
      <c r="N144" s="205"/>
      <c r="O144" s="338" t="s">
        <v>27</v>
      </c>
    </row>
    <row r="145" spans="1:15" ht="16.2"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52" t="str">
        <f>IF(VLOOKUP(A145,'Aux - pivots1'!$A:$E,3,0)=0, "",VLOOKUP(A145,'Aux - pivots1'!$A:$E,3,0))</f>
        <v/>
      </c>
      <c r="K145" s="152" t="str">
        <f>IF(VLOOKUP(A145,'Aux - pivots1'!$A:$E,4,0)=0, "",VLOOKUP(A145,'Aux - pivots1'!$A:$E,4,0))</f>
        <v/>
      </c>
      <c r="L145" s="152" t="str">
        <f>IF(VLOOKUP(A145,'Aux - pivots1'!$A:$E,5,0)=0, "",VLOOKUP(A145,'Aux - pivots1'!$A:$E,5,0))</f>
        <v/>
      </c>
      <c r="M145" s="205"/>
      <c r="N145" s="205"/>
      <c r="O145" s="338" t="s">
        <v>27</v>
      </c>
    </row>
    <row r="146" spans="1:15" ht="16.2"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52" t="str">
        <f>IF(VLOOKUP(A146,'Aux - pivots1'!$A:$E,3,0)=0, "",VLOOKUP(A146,'Aux - pivots1'!$A:$E,3,0))</f>
        <v/>
      </c>
      <c r="K146" s="152" t="str">
        <f>IF(VLOOKUP(A146,'Aux - pivots1'!$A:$E,4,0)=0, "",VLOOKUP(A146,'Aux - pivots1'!$A:$E,4,0))</f>
        <v/>
      </c>
      <c r="L146" s="152" t="str">
        <f>IF(VLOOKUP(A146,'Aux - pivots1'!$A:$E,5,0)=0, "",VLOOKUP(A146,'Aux - pivots1'!$A:$E,5,0))</f>
        <v/>
      </c>
      <c r="M146" s="205"/>
      <c r="N146" s="205"/>
      <c r="O146" s="338" t="s">
        <v>27</v>
      </c>
    </row>
    <row r="147" spans="1:15" ht="16.2"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52" t="str">
        <f>IF(VLOOKUP(A147,'Aux - pivots1'!$A:$E,3,0)=0, "",VLOOKUP(A147,'Aux - pivots1'!$A:$E,3,0))</f>
        <v/>
      </c>
      <c r="K147" s="152" t="str">
        <f>IF(VLOOKUP(A147,'Aux - pivots1'!$A:$E,4,0)=0, "",VLOOKUP(A147,'Aux - pivots1'!$A:$E,4,0))</f>
        <v/>
      </c>
      <c r="L147" s="152" t="str">
        <f>IF(VLOOKUP(A147,'Aux - pivots1'!$A:$E,5,0)=0, "",VLOOKUP(A147,'Aux - pivots1'!$A:$E,5,0))</f>
        <v/>
      </c>
      <c r="M147" s="205"/>
      <c r="N147" s="205"/>
      <c r="O147" s="338" t="s">
        <v>27</v>
      </c>
    </row>
    <row r="148" spans="1:15" ht="16.2"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52" t="str">
        <f>IF(VLOOKUP(A148,'Aux - pivots1'!$A:$E,3,0)=0, "",VLOOKUP(A148,'Aux - pivots1'!$A:$E,3,0))</f>
        <v/>
      </c>
      <c r="K148" s="152" t="str">
        <f>IF(VLOOKUP(A148,'Aux - pivots1'!$A:$E,4,0)=0, "",VLOOKUP(A148,'Aux - pivots1'!$A:$E,4,0))</f>
        <v/>
      </c>
      <c r="L148" s="152" t="str">
        <f>IF(VLOOKUP(A148,'Aux - pivots1'!$A:$E,5,0)=0, "",VLOOKUP(A148,'Aux - pivots1'!$A:$E,5,0))</f>
        <v/>
      </c>
      <c r="M148" s="205"/>
      <c r="N148" s="205"/>
      <c r="O148" s="338" t="s">
        <v>27</v>
      </c>
    </row>
    <row r="149" spans="1:15" ht="16.2"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52" t="str">
        <f>IF(VLOOKUP(A149,'Aux - pivots1'!$A:$E,3,0)=0, "",VLOOKUP(A149,'Aux - pivots1'!$A:$E,3,0))</f>
        <v/>
      </c>
      <c r="K149" s="152" t="str">
        <f>IF(VLOOKUP(A149,'Aux - pivots1'!$A:$E,4,0)=0, "",VLOOKUP(A149,'Aux - pivots1'!$A:$E,4,0))</f>
        <v/>
      </c>
      <c r="L149" s="152" t="str">
        <f>IF(VLOOKUP(A149,'Aux - pivots1'!$A:$E,5,0)=0, "",VLOOKUP(A149,'Aux - pivots1'!$A:$E,5,0))</f>
        <v/>
      </c>
      <c r="M149" s="205"/>
      <c r="N149" s="205"/>
      <c r="O149" s="338" t="s">
        <v>27</v>
      </c>
    </row>
    <row r="150" spans="1:15" ht="16.2"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52" t="str">
        <f>IF(VLOOKUP(A150,'Aux - pivots1'!$A:$E,3,0)=0, "",VLOOKUP(A150,'Aux - pivots1'!$A:$E,3,0))</f>
        <v/>
      </c>
      <c r="K150" s="152" t="str">
        <f>IF(VLOOKUP(A150,'Aux - pivots1'!$A:$E,4,0)=0, "",VLOOKUP(A150,'Aux - pivots1'!$A:$E,4,0))</f>
        <v/>
      </c>
      <c r="L150" s="152" t="str">
        <f>IF(VLOOKUP(A150,'Aux - pivots1'!$A:$E,5,0)=0, "",VLOOKUP(A150,'Aux - pivots1'!$A:$E,5,0))</f>
        <v/>
      </c>
      <c r="M150" s="205"/>
      <c r="N150" s="205"/>
      <c r="O150" s="338" t="s">
        <v>27</v>
      </c>
    </row>
    <row r="151" spans="1:15" ht="16.2" customHeight="1">
      <c r="A151" s="29" t="str">
        <f t="shared" si="2"/>
        <v>PROPERTY_ENERGY_CERTIFICATEEPC</v>
      </c>
      <c r="B151" s="141" t="s">
        <v>26</v>
      </c>
      <c r="C151" s="137" t="s">
        <v>54</v>
      </c>
      <c r="D151" s="133" t="s">
        <v>40</v>
      </c>
      <c r="E151" s="134" t="s">
        <v>123</v>
      </c>
      <c r="F151" s="133" t="s">
        <v>47</v>
      </c>
      <c r="G151" s="135" t="str">
        <f>VLOOKUP(A151,Plano_V3!$A$26:$G$753,7,0)</f>
        <v>6. Em implementação (re-especificação)</v>
      </c>
      <c r="H151" s="135" t="s">
        <v>612</v>
      </c>
      <c r="I151" s="142"/>
      <c r="J151" s="152" t="str">
        <f>IF(VLOOKUP(A151,'Aux - pivots1'!$A:$E,3,0)=0, "",VLOOKUP(A151,'Aux - pivots1'!$A:$E,3,0))</f>
        <v/>
      </c>
      <c r="K151" s="152" t="str">
        <f>IF(VLOOKUP(A151,'Aux - pivots1'!$A:$E,4,0)=0, "",VLOOKUP(A151,'Aux - pivots1'!$A:$E,4,0))</f>
        <v/>
      </c>
      <c r="L151" s="152" t="str">
        <f>IF(VLOOKUP(A151,'Aux - pivots1'!$A:$E,5,0)=0, "",VLOOKUP(A151,'Aux - pivots1'!$A:$E,5,0))</f>
        <v/>
      </c>
      <c r="M151" s="205"/>
      <c r="N151" s="205"/>
      <c r="O151" s="338" t="s">
        <v>27</v>
      </c>
    </row>
    <row r="152" spans="1:15" ht="16.2"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52" t="str">
        <f>IF(VLOOKUP(A152,'Aux - pivots1'!$A:$E,3,0)=0, "",VLOOKUP(A152,'Aux - pivots1'!$A:$E,3,0))</f>
        <v/>
      </c>
      <c r="K152" s="152" t="str">
        <f>IF(VLOOKUP(A152,'Aux - pivots1'!$A:$E,4,0)=0, "",VLOOKUP(A152,'Aux - pivots1'!$A:$E,4,0))</f>
        <v/>
      </c>
      <c r="L152" s="152" t="str">
        <f>IF(VLOOKUP(A152,'Aux - pivots1'!$A:$E,5,0)=0, "",VLOOKUP(A152,'Aux - pivots1'!$A:$E,5,0))</f>
        <v/>
      </c>
      <c r="M152" s="205"/>
      <c r="N152" s="205"/>
      <c r="O152" s="338" t="s">
        <v>27</v>
      </c>
    </row>
    <row r="153" spans="1:15" ht="16.2"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52" t="str">
        <f>IF(VLOOKUP(A153,'Aux - pivots1'!$A:$E,3,0)=0, "",VLOOKUP(A153,'Aux - pivots1'!$A:$E,3,0))</f>
        <v/>
      </c>
      <c r="K153" s="152" t="str">
        <f>IF(VLOOKUP(A153,'Aux - pivots1'!$A:$E,4,0)=0, "",VLOOKUP(A153,'Aux - pivots1'!$A:$E,4,0))</f>
        <v/>
      </c>
      <c r="L153" s="152" t="str">
        <f>IF(VLOOKUP(A153,'Aux - pivots1'!$A:$E,5,0)=0, "",VLOOKUP(A153,'Aux - pivots1'!$A:$E,5,0))</f>
        <v/>
      </c>
      <c r="M153" s="205"/>
      <c r="N153" s="205"/>
      <c r="O153" s="338" t="s">
        <v>27</v>
      </c>
    </row>
    <row r="154" spans="1:15" ht="16.2"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52" t="str">
        <f>IF(VLOOKUP(A154,'Aux - pivots1'!$A:$E,3,0)=0, "",VLOOKUP(A154,'Aux - pivots1'!$A:$E,3,0))</f>
        <v/>
      </c>
      <c r="K154" s="152" t="str">
        <f>IF(VLOOKUP(A154,'Aux - pivots1'!$A:$E,4,0)=0, "",VLOOKUP(A154,'Aux - pivots1'!$A:$E,4,0))</f>
        <v/>
      </c>
      <c r="L154" s="152" t="str">
        <f>IF(VLOOKUP(A154,'Aux - pivots1'!$A:$E,5,0)=0, "",VLOOKUP(A154,'Aux - pivots1'!$A:$E,5,0))</f>
        <v/>
      </c>
      <c r="M154" s="205"/>
      <c r="N154" s="205"/>
      <c r="O154" s="338" t="s">
        <v>27</v>
      </c>
    </row>
    <row r="155" spans="1:15" ht="16.2"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52" t="str">
        <f>IF(VLOOKUP(A155,'Aux - pivots1'!$A:$E,3,0)=0, "",VLOOKUP(A155,'Aux - pivots1'!$A:$E,3,0))</f>
        <v/>
      </c>
      <c r="K155" s="152" t="str">
        <f>IF(VLOOKUP(A155,'Aux - pivots1'!$A:$E,4,0)=0, "",VLOOKUP(A155,'Aux - pivots1'!$A:$E,4,0))</f>
        <v/>
      </c>
      <c r="L155" s="152" t="str">
        <f>IF(VLOOKUP(A155,'Aux - pivots1'!$A:$E,5,0)=0, "",VLOOKUP(A155,'Aux - pivots1'!$A:$E,5,0))</f>
        <v/>
      </c>
      <c r="M155" s="205"/>
      <c r="N155" s="205"/>
      <c r="O155" s="338" t="s">
        <v>27</v>
      </c>
    </row>
    <row r="156" spans="1:15" ht="16.2"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52" t="str">
        <f>IF(VLOOKUP(A156,'Aux - pivots1'!$A:$E,3,0)=0, "",VLOOKUP(A156,'Aux - pivots1'!$A:$E,3,0))</f>
        <v/>
      </c>
      <c r="K156" s="152" t="str">
        <f>IF(VLOOKUP(A156,'Aux - pivots1'!$A:$E,4,0)=0, "",VLOOKUP(A156,'Aux - pivots1'!$A:$E,4,0))</f>
        <v/>
      </c>
      <c r="L156" s="152" t="str">
        <f>IF(VLOOKUP(A156,'Aux - pivots1'!$A:$E,5,0)=0, "",VLOOKUP(A156,'Aux - pivots1'!$A:$E,5,0))</f>
        <v/>
      </c>
      <c r="M156" s="205"/>
      <c r="N156" s="205"/>
      <c r="O156" s="338" t="s">
        <v>27</v>
      </c>
    </row>
    <row r="157" spans="1:15" ht="16.2"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52" t="str">
        <f>IF(VLOOKUP(A157,'Aux - pivots1'!$A:$E,3,0)=0, "",VLOOKUP(A157,'Aux - pivots1'!$A:$E,3,0))</f>
        <v/>
      </c>
      <c r="K157" s="152" t="str">
        <f>IF(VLOOKUP(A157,'Aux - pivots1'!$A:$E,4,0)=0, "",VLOOKUP(A157,'Aux - pivots1'!$A:$E,4,0))</f>
        <v/>
      </c>
      <c r="L157" s="152" t="str">
        <f>IF(VLOOKUP(A157,'Aux - pivots1'!$A:$E,5,0)=0, "",VLOOKUP(A157,'Aux - pivots1'!$A:$E,5,0))</f>
        <v/>
      </c>
      <c r="M157" s="205"/>
      <c r="N157" s="205"/>
      <c r="O157" s="338" t="s">
        <v>27</v>
      </c>
    </row>
    <row r="158" spans="1:15" ht="16.2" customHeight="1">
      <c r="A158" s="29" t="str">
        <f t="shared" si="2"/>
        <v>PROPERTY_ENERGY_CERTIFICATEEP_SCORE</v>
      </c>
      <c r="B158" s="141" t="s">
        <v>26</v>
      </c>
      <c r="C158" s="137" t="s">
        <v>54</v>
      </c>
      <c r="D158" s="133" t="s">
        <v>40</v>
      </c>
      <c r="E158" s="134" t="s">
        <v>123</v>
      </c>
      <c r="F158" s="133" t="s">
        <v>135</v>
      </c>
      <c r="G158" s="135" t="str">
        <f>VLOOKUP(A158,Plano_V3!$A$26:$G$753,7,0)</f>
        <v>6. Em implementação (re-especificação)</v>
      </c>
      <c r="H158" s="135" t="s">
        <v>612</v>
      </c>
      <c r="I158" s="142"/>
      <c r="J158" s="152" t="str">
        <f>IF(VLOOKUP(A158,'Aux - pivots1'!$A:$E,3,0)=0, "",VLOOKUP(A158,'Aux - pivots1'!$A:$E,3,0))</f>
        <v/>
      </c>
      <c r="K158" s="152" t="str">
        <f>IF(VLOOKUP(A158,'Aux - pivots1'!$A:$E,4,0)=0, "",VLOOKUP(A158,'Aux - pivots1'!$A:$E,4,0))</f>
        <v/>
      </c>
      <c r="L158" s="152" t="str">
        <f>IF(VLOOKUP(A158,'Aux - pivots1'!$A:$E,5,0)=0, "",VLOOKUP(A158,'Aux - pivots1'!$A:$E,5,0))</f>
        <v/>
      </c>
      <c r="M158" s="205"/>
      <c r="N158" s="205"/>
      <c r="O158" s="338" t="s">
        <v>27</v>
      </c>
    </row>
    <row r="159" spans="1:15" ht="16.2"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52" t="str">
        <f>IF(VLOOKUP(A159,'Aux - pivots1'!$A:$E,3,0)=0, "",VLOOKUP(A159,'Aux - pivots1'!$A:$E,3,0))</f>
        <v/>
      </c>
      <c r="K159" s="152" t="str">
        <f>IF(VLOOKUP(A159,'Aux - pivots1'!$A:$E,4,0)=0, "",VLOOKUP(A159,'Aux - pivots1'!$A:$E,4,0))</f>
        <v/>
      </c>
      <c r="L159" s="152" t="str">
        <f>IF(VLOOKUP(A159,'Aux - pivots1'!$A:$E,5,0)=0, "",VLOOKUP(A159,'Aux - pivots1'!$A:$E,5,0))</f>
        <v/>
      </c>
      <c r="M159" s="205"/>
      <c r="N159" s="205"/>
      <c r="O159" s="338" t="s">
        <v>27</v>
      </c>
    </row>
    <row r="160" spans="1:15" ht="16.2"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52" t="str">
        <f>IF(VLOOKUP(A160,'Aux - pivots1'!$A:$E,3,0)=0, "",VLOOKUP(A160,'Aux - pivots1'!$A:$E,3,0))</f>
        <v/>
      </c>
      <c r="K160" s="152" t="str">
        <f>IF(VLOOKUP(A160,'Aux - pivots1'!$A:$E,4,0)=0, "",VLOOKUP(A160,'Aux - pivots1'!$A:$E,4,0))</f>
        <v/>
      </c>
      <c r="L160" s="152" t="str">
        <f>IF(VLOOKUP(A160,'Aux - pivots1'!$A:$E,5,0)=0, "",VLOOKUP(A160,'Aux - pivots1'!$A:$E,5,0))</f>
        <v/>
      </c>
      <c r="M160" s="205"/>
      <c r="N160" s="205"/>
      <c r="O160" s="338" t="s">
        <v>27</v>
      </c>
    </row>
    <row r="161" spans="1:15" ht="16.2"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52" t="str">
        <f>IF(VLOOKUP(A161,'Aux - pivots1'!$A:$E,3,0)=0, "",VLOOKUP(A161,'Aux - pivots1'!$A:$E,3,0))</f>
        <v/>
      </c>
      <c r="K161" s="152" t="str">
        <f>IF(VLOOKUP(A161,'Aux - pivots1'!$A:$E,4,0)=0, "",VLOOKUP(A161,'Aux - pivots1'!$A:$E,4,0))</f>
        <v/>
      </c>
      <c r="L161" s="152" t="str">
        <f>IF(VLOOKUP(A161,'Aux - pivots1'!$A:$E,5,0)=0, "",VLOOKUP(A161,'Aux - pivots1'!$A:$E,5,0))</f>
        <v/>
      </c>
      <c r="M161" s="205"/>
      <c r="N161" s="205"/>
      <c r="O161" s="338" t="s">
        <v>27</v>
      </c>
    </row>
    <row r="162" spans="1:15" ht="16.2"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52" t="str">
        <f>IF(VLOOKUP(A162,'Aux - pivots1'!$A:$E,3,0)=0, "",VLOOKUP(A162,'Aux - pivots1'!$A:$E,3,0))</f>
        <v/>
      </c>
      <c r="K162" s="152" t="str">
        <f>IF(VLOOKUP(A162,'Aux - pivots1'!$A:$E,4,0)=0, "",VLOOKUP(A162,'Aux - pivots1'!$A:$E,4,0))</f>
        <v/>
      </c>
      <c r="L162" s="152" t="str">
        <f>IF(VLOOKUP(A162,'Aux - pivots1'!$A:$E,5,0)=0, "",VLOOKUP(A162,'Aux - pivots1'!$A:$E,5,0))</f>
        <v/>
      </c>
      <c r="M162" s="205"/>
      <c r="N162" s="205"/>
      <c r="O162" s="338" t="s">
        <v>27</v>
      </c>
    </row>
    <row r="163" spans="1:15" ht="16.2"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52" t="str">
        <f>IF(VLOOKUP(A163,'Aux - pivots1'!$A:$E,3,0)=0, "",VLOOKUP(A163,'Aux - pivots1'!$A:$E,3,0))</f>
        <v/>
      </c>
      <c r="K163" s="152" t="str">
        <f>IF(VLOOKUP(A163,'Aux - pivots1'!$A:$E,4,0)=0, "",VLOOKUP(A163,'Aux - pivots1'!$A:$E,4,0))</f>
        <v/>
      </c>
      <c r="L163" s="152" t="str">
        <f>IF(VLOOKUP(A163,'Aux - pivots1'!$A:$E,5,0)=0, "",VLOOKUP(A163,'Aux - pivots1'!$A:$E,5,0))</f>
        <v/>
      </c>
      <c r="M163" s="205"/>
      <c r="N163" s="205"/>
      <c r="O163" s="338" t="s">
        <v>27</v>
      </c>
    </row>
    <row r="164" spans="1:15" ht="16.2"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52" t="str">
        <f>IF(VLOOKUP(A164,'Aux - pivots1'!$A:$E,3,0)=0, "",VLOOKUP(A164,'Aux - pivots1'!$A:$E,3,0))</f>
        <v/>
      </c>
      <c r="K164" s="152" t="str">
        <f>IF(VLOOKUP(A164,'Aux - pivots1'!$A:$E,4,0)=0, "",VLOOKUP(A164,'Aux - pivots1'!$A:$E,4,0))</f>
        <v/>
      </c>
      <c r="L164" s="152" t="str">
        <f>IF(VLOOKUP(A164,'Aux - pivots1'!$A:$E,5,0)=0, "",VLOOKUP(A164,'Aux - pivots1'!$A:$E,5,0))</f>
        <v/>
      </c>
      <c r="M164" s="205"/>
      <c r="N164" s="205"/>
      <c r="O164" s="338" t="s">
        <v>27</v>
      </c>
    </row>
    <row r="165" spans="1:15" ht="16.2"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52" t="str">
        <f>IF(VLOOKUP(A165,'Aux - pivots1'!$A:$E,3,0)=0, "",VLOOKUP(A165,'Aux - pivots1'!$A:$E,3,0))</f>
        <v/>
      </c>
      <c r="K165" s="152" t="str">
        <f>IF(VLOOKUP(A165,'Aux - pivots1'!$A:$E,4,0)=0, "",VLOOKUP(A165,'Aux - pivots1'!$A:$E,4,0))</f>
        <v/>
      </c>
      <c r="L165" s="152" t="str">
        <f>IF(VLOOKUP(A165,'Aux - pivots1'!$A:$E,5,0)=0, "",VLOOKUP(A165,'Aux - pivots1'!$A:$E,5,0))</f>
        <v/>
      </c>
      <c r="M165" s="205"/>
      <c r="N165" s="205"/>
      <c r="O165" s="338" t="s">
        <v>27</v>
      </c>
    </row>
    <row r="166" spans="1:15" ht="16.2"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52" t="str">
        <f>IF(VLOOKUP(A166,'Aux - pivots1'!$A:$E,3,0)=0, "",VLOOKUP(A166,'Aux - pivots1'!$A:$E,3,0))</f>
        <v/>
      </c>
      <c r="K166" s="152" t="str">
        <f>IF(VLOOKUP(A166,'Aux - pivots1'!$A:$E,4,0)=0, "",VLOOKUP(A166,'Aux - pivots1'!$A:$E,4,0))</f>
        <v/>
      </c>
      <c r="L166" s="152" t="str">
        <f>IF(VLOOKUP(A166,'Aux - pivots1'!$A:$E,5,0)=0, "",VLOOKUP(A166,'Aux - pivots1'!$A:$E,5,0))</f>
        <v/>
      </c>
      <c r="M166" s="205"/>
      <c r="N166" s="205"/>
      <c r="O166" s="338" t="s">
        <v>27</v>
      </c>
    </row>
    <row r="167" spans="1:15" ht="16.2"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52" t="str">
        <f>IF(VLOOKUP(A167,'Aux - pivots1'!$A:$E,3,0)=0, "",VLOOKUP(A167,'Aux - pivots1'!$A:$E,3,0))</f>
        <v/>
      </c>
      <c r="K167" s="152" t="str">
        <f>IF(VLOOKUP(A167,'Aux - pivots1'!$A:$E,4,0)=0, "",VLOOKUP(A167,'Aux - pivots1'!$A:$E,4,0))</f>
        <v/>
      </c>
      <c r="L167" s="152" t="str">
        <f>IF(VLOOKUP(A167,'Aux - pivots1'!$A:$E,5,0)=0, "",VLOOKUP(A167,'Aux - pivots1'!$A:$E,5,0))</f>
        <v/>
      </c>
      <c r="M167" s="205"/>
      <c r="N167" s="205"/>
      <c r="O167" s="338" t="s">
        <v>27</v>
      </c>
    </row>
    <row r="168" spans="1:15" ht="16.2"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52" t="str">
        <f>IF(VLOOKUP(A168,'Aux - pivots1'!$A:$E,3,0)=0, "",VLOOKUP(A168,'Aux - pivots1'!$A:$E,3,0))</f>
        <v/>
      </c>
      <c r="K168" s="152" t="str">
        <f>IF(VLOOKUP(A168,'Aux - pivots1'!$A:$E,4,0)=0, "",VLOOKUP(A168,'Aux - pivots1'!$A:$E,4,0))</f>
        <v/>
      </c>
      <c r="L168" s="152" t="str">
        <f>IF(VLOOKUP(A168,'Aux - pivots1'!$A:$E,5,0)=0, "",VLOOKUP(A168,'Aux - pivots1'!$A:$E,5,0))</f>
        <v/>
      </c>
      <c r="M168" s="205"/>
      <c r="N168" s="205"/>
      <c r="O168" s="338" t="s">
        <v>27</v>
      </c>
    </row>
    <row r="169" spans="1:15" ht="16.2"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52" t="str">
        <f>IF(VLOOKUP(A169,'Aux - pivots1'!$A:$E,3,0)=0, "",VLOOKUP(A169,'Aux - pivots1'!$A:$E,3,0))</f>
        <v/>
      </c>
      <c r="K169" s="152" t="str">
        <f>IF(VLOOKUP(A169,'Aux - pivots1'!$A:$E,4,0)=0, "",VLOOKUP(A169,'Aux - pivots1'!$A:$E,4,0))</f>
        <v/>
      </c>
      <c r="L169" s="152" t="str">
        <f>IF(VLOOKUP(A169,'Aux - pivots1'!$A:$E,5,0)=0, "",VLOOKUP(A169,'Aux - pivots1'!$A:$E,5,0))</f>
        <v/>
      </c>
      <c r="M169" s="205"/>
      <c r="N169" s="205"/>
      <c r="O169" s="338" t="s">
        <v>27</v>
      </c>
    </row>
    <row r="170" spans="1:15" ht="16.2"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52" t="str">
        <f>IF(VLOOKUP(A170,'Aux - pivots1'!$A:$E,3,0)=0, "",VLOOKUP(A170,'Aux - pivots1'!$A:$E,3,0))</f>
        <v/>
      </c>
      <c r="K170" s="152" t="str">
        <f>IF(VLOOKUP(A170,'Aux - pivots1'!$A:$E,4,0)=0, "",VLOOKUP(A170,'Aux - pivots1'!$A:$E,4,0))</f>
        <v/>
      </c>
      <c r="L170" s="152" t="str">
        <f>IF(VLOOKUP(A170,'Aux - pivots1'!$A:$E,5,0)=0, "",VLOOKUP(A170,'Aux - pivots1'!$A:$E,5,0))</f>
        <v/>
      </c>
      <c r="M170" s="205"/>
      <c r="N170" s="205"/>
      <c r="O170" s="338" t="s">
        <v>27</v>
      </c>
    </row>
    <row r="171" spans="1:15" ht="16.2"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52" t="str">
        <f>IF(VLOOKUP(A171,'Aux - pivots1'!$A:$E,3,0)=0, "",VLOOKUP(A171,'Aux - pivots1'!$A:$E,3,0))</f>
        <v/>
      </c>
      <c r="K171" s="152" t="str">
        <f>IF(VLOOKUP(A171,'Aux - pivots1'!$A:$E,4,0)=0, "",VLOOKUP(A171,'Aux - pivots1'!$A:$E,4,0))</f>
        <v/>
      </c>
      <c r="L171" s="152" t="str">
        <f>IF(VLOOKUP(A171,'Aux - pivots1'!$A:$E,5,0)=0, "",VLOOKUP(A171,'Aux - pivots1'!$A:$E,5,0))</f>
        <v/>
      </c>
      <c r="M171" s="205"/>
      <c r="N171" s="205"/>
      <c r="O171" s="338" t="s">
        <v>27</v>
      </c>
    </row>
    <row r="172" spans="1:15" ht="16.2"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52" t="str">
        <f>IF(VLOOKUP(A172,'Aux - pivots1'!$A:$E,3,0)=0, "",VLOOKUP(A172,'Aux - pivots1'!$A:$E,3,0))</f>
        <v/>
      </c>
      <c r="K172" s="152" t="str">
        <f>IF(VLOOKUP(A172,'Aux - pivots1'!$A:$E,4,0)=0, "",VLOOKUP(A172,'Aux - pivots1'!$A:$E,4,0))</f>
        <v/>
      </c>
      <c r="L172" s="152" t="str">
        <f>IF(VLOOKUP(A172,'Aux - pivots1'!$A:$E,5,0)=0, "",VLOOKUP(A172,'Aux - pivots1'!$A:$E,5,0))</f>
        <v/>
      </c>
      <c r="M172" s="205"/>
      <c r="N172" s="205"/>
      <c r="O172" s="338" t="s">
        <v>27</v>
      </c>
    </row>
    <row r="173" spans="1:15" ht="16.2" customHeight="1">
      <c r="A173" s="29" t="str">
        <f t="shared" si="2"/>
        <v>PROPERTY_ENERGY_CERTIFICATEENERGY_CONSUMPTION_VALUE_YEAR</v>
      </c>
      <c r="B173" s="141" t="s">
        <v>26</v>
      </c>
      <c r="C173" s="137" t="s">
        <v>54</v>
      </c>
      <c r="D173" s="133" t="s">
        <v>40</v>
      </c>
      <c r="E173" s="134" t="s">
        <v>123</v>
      </c>
      <c r="F173" s="133" t="s">
        <v>51</v>
      </c>
      <c r="G173" s="135" t="str">
        <f>VLOOKUP(A173,Plano_V3!$A$26:$G$753,7,0)</f>
        <v>6. Em implementação (re-especificação)</v>
      </c>
      <c r="H173" s="135" t="s">
        <v>612</v>
      </c>
      <c r="I173" s="142"/>
      <c r="J173" s="152" t="str">
        <f>IF(VLOOKUP(A173,'Aux - pivots1'!$A:$E,3,0)=0, "",VLOOKUP(A173,'Aux - pivots1'!$A:$E,3,0))</f>
        <v/>
      </c>
      <c r="K173" s="152" t="str">
        <f>IF(VLOOKUP(A173,'Aux - pivots1'!$A:$E,4,0)=0, "",VLOOKUP(A173,'Aux - pivots1'!$A:$E,4,0))</f>
        <v/>
      </c>
      <c r="L173" s="152" t="str">
        <f>IF(VLOOKUP(A173,'Aux - pivots1'!$A:$E,5,0)=0, "",VLOOKUP(A173,'Aux - pivots1'!$A:$E,5,0))</f>
        <v/>
      </c>
      <c r="M173" s="205"/>
      <c r="N173" s="205"/>
      <c r="O173" s="338" t="s">
        <v>27</v>
      </c>
    </row>
    <row r="174" spans="1:15" ht="16.2"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52" t="str">
        <f>IF(VLOOKUP(A174,'Aux - pivots1'!$A:$E,3,0)=0, "",VLOOKUP(A174,'Aux - pivots1'!$A:$E,3,0))</f>
        <v/>
      </c>
      <c r="K174" s="152" t="str">
        <f>IF(VLOOKUP(A174,'Aux - pivots1'!$A:$E,4,0)=0, "",VLOOKUP(A174,'Aux - pivots1'!$A:$E,4,0))</f>
        <v/>
      </c>
      <c r="L174" s="152" t="str">
        <f>IF(VLOOKUP(A174,'Aux - pivots1'!$A:$E,5,0)=0, "",VLOOKUP(A174,'Aux - pivots1'!$A:$E,5,0))</f>
        <v/>
      </c>
      <c r="M174" s="205"/>
      <c r="N174" s="205"/>
      <c r="O174" s="338" t="s">
        <v>27</v>
      </c>
    </row>
    <row r="175" spans="1:15" ht="16.2"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52" t="str">
        <f>IF(VLOOKUP(A175,'Aux - pivots1'!$A:$E,3,0)=0, "",VLOOKUP(A175,'Aux - pivots1'!$A:$E,3,0))</f>
        <v/>
      </c>
      <c r="K175" s="152" t="str">
        <f>IF(VLOOKUP(A175,'Aux - pivots1'!$A:$E,4,0)=0, "",VLOOKUP(A175,'Aux - pivots1'!$A:$E,4,0))</f>
        <v/>
      </c>
      <c r="L175" s="152" t="str">
        <f>IF(VLOOKUP(A175,'Aux - pivots1'!$A:$E,5,0)=0, "",VLOOKUP(A175,'Aux - pivots1'!$A:$E,5,0))</f>
        <v/>
      </c>
      <c r="M175" s="205"/>
      <c r="N175" s="205"/>
      <c r="O175" s="338" t="s">
        <v>27</v>
      </c>
    </row>
    <row r="176" spans="1:15" ht="16.2"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52" t="str">
        <f>IF(VLOOKUP(A176,'Aux - pivots1'!$A:$E,3,0)=0, "",VLOOKUP(A176,'Aux - pivots1'!$A:$E,3,0))</f>
        <v/>
      </c>
      <c r="K176" s="152" t="str">
        <f>IF(VLOOKUP(A176,'Aux - pivots1'!$A:$E,4,0)=0, "",VLOOKUP(A176,'Aux - pivots1'!$A:$E,4,0))</f>
        <v/>
      </c>
      <c r="L176" s="152" t="str">
        <f>IF(VLOOKUP(A176,'Aux - pivots1'!$A:$E,5,0)=0, "",VLOOKUP(A176,'Aux - pivots1'!$A:$E,5,0))</f>
        <v/>
      </c>
      <c r="M176" s="205"/>
      <c r="N176" s="205"/>
      <c r="O176" s="338" t="s">
        <v>27</v>
      </c>
    </row>
    <row r="177" spans="1:15" ht="16.2"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52" t="str">
        <f>IF(VLOOKUP(A177,'Aux - pivots1'!$A:$E,3,0)=0, "",VLOOKUP(A177,'Aux - pivots1'!$A:$E,3,0))</f>
        <v/>
      </c>
      <c r="K177" s="152" t="str">
        <f>IF(VLOOKUP(A177,'Aux - pivots1'!$A:$E,4,0)=0, "",VLOOKUP(A177,'Aux - pivots1'!$A:$E,4,0))</f>
        <v/>
      </c>
      <c r="L177" s="152" t="str">
        <f>IF(VLOOKUP(A177,'Aux - pivots1'!$A:$E,5,0)=0, "",VLOOKUP(A177,'Aux - pivots1'!$A:$E,5,0))</f>
        <v/>
      </c>
      <c r="M177" s="205"/>
      <c r="N177" s="205"/>
      <c r="O177" s="338" t="s">
        <v>27</v>
      </c>
    </row>
    <row r="178" spans="1:15" ht="16.2"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52" t="str">
        <f>IF(VLOOKUP(A178,'Aux - pivots1'!$A:$E,3,0)=0, "",VLOOKUP(A178,'Aux - pivots1'!$A:$E,3,0))</f>
        <v/>
      </c>
      <c r="K178" s="152" t="str">
        <f>IF(VLOOKUP(A178,'Aux - pivots1'!$A:$E,4,0)=0, "",VLOOKUP(A178,'Aux - pivots1'!$A:$E,4,0))</f>
        <v/>
      </c>
      <c r="L178" s="152" t="str">
        <f>IF(VLOOKUP(A178,'Aux - pivots1'!$A:$E,5,0)=0, "",VLOOKUP(A178,'Aux - pivots1'!$A:$E,5,0))</f>
        <v/>
      </c>
      <c r="M178" s="205"/>
      <c r="N178" s="205"/>
      <c r="O178" s="338" t="s">
        <v>27</v>
      </c>
    </row>
    <row r="179" spans="1:15" ht="16.2"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52" t="str">
        <f>IF(VLOOKUP(A179,'Aux - pivots1'!$A:$E,3,0)=0, "",VLOOKUP(A179,'Aux - pivots1'!$A:$E,3,0))</f>
        <v/>
      </c>
      <c r="K179" s="152" t="str">
        <f>IF(VLOOKUP(A179,'Aux - pivots1'!$A:$E,4,0)=0, "",VLOOKUP(A179,'Aux - pivots1'!$A:$E,4,0))</f>
        <v/>
      </c>
      <c r="L179" s="152" t="str">
        <f>IF(VLOOKUP(A179,'Aux - pivots1'!$A:$E,5,0)=0, "",VLOOKUP(A179,'Aux - pivots1'!$A:$E,5,0))</f>
        <v/>
      </c>
      <c r="M179" s="205"/>
      <c r="N179" s="205"/>
      <c r="O179" s="338" t="s">
        <v>27</v>
      </c>
    </row>
    <row r="180" spans="1:15" ht="16.2"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52" t="str">
        <f>IF(VLOOKUP(A180,'Aux - pivots1'!$A:$E,3,0)=0, "",VLOOKUP(A180,'Aux - pivots1'!$A:$E,3,0))</f>
        <v/>
      </c>
      <c r="K180" s="152" t="str">
        <f>IF(VLOOKUP(A180,'Aux - pivots1'!$A:$E,4,0)=0, "",VLOOKUP(A180,'Aux - pivots1'!$A:$E,4,0))</f>
        <v/>
      </c>
      <c r="L180" s="152" t="str">
        <f>IF(VLOOKUP(A180,'Aux - pivots1'!$A:$E,5,0)=0, "",VLOOKUP(A180,'Aux - pivots1'!$A:$E,5,0))</f>
        <v/>
      </c>
      <c r="M180" s="205"/>
      <c r="N180" s="205"/>
      <c r="O180" s="338" t="s">
        <v>27</v>
      </c>
    </row>
    <row r="181" spans="1:15" ht="16.2"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52" t="str">
        <f>IF(VLOOKUP(A181,'Aux - pivots1'!$A:$E,3,0)=0, "",VLOOKUP(A181,'Aux - pivots1'!$A:$E,3,0))</f>
        <v/>
      </c>
      <c r="K181" s="152" t="str">
        <f>IF(VLOOKUP(A181,'Aux - pivots1'!$A:$E,4,0)=0, "",VLOOKUP(A181,'Aux - pivots1'!$A:$E,4,0))</f>
        <v/>
      </c>
      <c r="L181" s="152" t="str">
        <f>IF(VLOOKUP(A181,'Aux - pivots1'!$A:$E,5,0)=0, "",VLOOKUP(A181,'Aux - pivots1'!$A:$E,5,0))</f>
        <v/>
      </c>
      <c r="M181" s="205"/>
      <c r="N181" s="205"/>
      <c r="O181" s="338" t="s">
        <v>27</v>
      </c>
    </row>
    <row r="182" spans="1:15" ht="16.2" customHeight="1">
      <c r="A182" s="29" t="str">
        <f t="shared" si="2"/>
        <v>PROPERTY_ENERGY_CERTIFICATECARBON_EMISSION_VALUE_YEAR</v>
      </c>
      <c r="B182" s="141" t="s">
        <v>26</v>
      </c>
      <c r="C182" s="137" t="s">
        <v>54</v>
      </c>
      <c r="D182" s="133" t="s">
        <v>40</v>
      </c>
      <c r="E182" s="134" t="s">
        <v>123</v>
      </c>
      <c r="F182" s="133" t="s">
        <v>52</v>
      </c>
      <c r="G182" s="135" t="str">
        <f>VLOOKUP(A182,Plano_V3!$A$26:$G$753,7,0)</f>
        <v>6. Em implementação (re-especificação)</v>
      </c>
      <c r="H182" s="135" t="s">
        <v>612</v>
      </c>
      <c r="I182" s="142"/>
      <c r="J182" s="152" t="str">
        <f>IF(VLOOKUP(A182,'Aux - pivots1'!$A:$E,3,0)=0, "",VLOOKUP(A182,'Aux - pivots1'!$A:$E,3,0))</f>
        <v/>
      </c>
      <c r="K182" s="152" t="str">
        <f>IF(VLOOKUP(A182,'Aux - pivots1'!$A:$E,4,0)=0, "",VLOOKUP(A182,'Aux - pivots1'!$A:$E,4,0))</f>
        <v/>
      </c>
      <c r="L182" s="152" t="str">
        <f>IF(VLOOKUP(A182,'Aux - pivots1'!$A:$E,5,0)=0, "",VLOOKUP(A182,'Aux - pivots1'!$A:$E,5,0))</f>
        <v/>
      </c>
      <c r="M182" s="205"/>
      <c r="N182" s="205"/>
      <c r="O182" s="338" t="s">
        <v>27</v>
      </c>
    </row>
    <row r="183" spans="1:15" ht="16.2"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52" t="str">
        <f>IF(VLOOKUP(A183,'Aux - pivots1'!$A:$E,3,0)=0, "",VLOOKUP(A183,'Aux - pivots1'!$A:$E,3,0))</f>
        <v/>
      </c>
      <c r="K183" s="152" t="str">
        <f>IF(VLOOKUP(A183,'Aux - pivots1'!$A:$E,4,0)=0, "",VLOOKUP(A183,'Aux - pivots1'!$A:$E,4,0))</f>
        <v/>
      </c>
      <c r="L183" s="152" t="str">
        <f>IF(VLOOKUP(A183,'Aux - pivots1'!$A:$E,5,0)=0, "",VLOOKUP(A183,'Aux - pivots1'!$A:$E,5,0))</f>
        <v/>
      </c>
      <c r="M183" s="205"/>
      <c r="N183" s="205"/>
      <c r="O183" s="338" t="s">
        <v>27</v>
      </c>
    </row>
    <row r="184" spans="1:15" ht="16.2"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52" t="str">
        <f>IF(VLOOKUP(A184,'Aux - pivots1'!$A:$E,3,0)=0, "",VLOOKUP(A184,'Aux - pivots1'!$A:$E,3,0))</f>
        <v/>
      </c>
      <c r="K184" s="152" t="str">
        <f>IF(VLOOKUP(A184,'Aux - pivots1'!$A:$E,4,0)=0, "",VLOOKUP(A184,'Aux - pivots1'!$A:$E,4,0))</f>
        <v/>
      </c>
      <c r="L184" s="152" t="str">
        <f>IF(VLOOKUP(A184,'Aux - pivots1'!$A:$E,5,0)=0, "",VLOOKUP(A184,'Aux - pivots1'!$A:$E,5,0))</f>
        <v/>
      </c>
      <c r="M184" s="205"/>
      <c r="N184" s="205"/>
      <c r="O184" s="338" t="s">
        <v>27</v>
      </c>
    </row>
    <row r="185" spans="1:15" ht="16.2"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52" t="str">
        <f>IF(VLOOKUP(A185,'Aux - pivots1'!$A:$E,3,0)=0, "",VLOOKUP(A185,'Aux - pivots1'!$A:$E,3,0))</f>
        <v/>
      </c>
      <c r="K185" s="152" t="str">
        <f>IF(VLOOKUP(A185,'Aux - pivots1'!$A:$E,4,0)=0, "",VLOOKUP(A185,'Aux - pivots1'!$A:$E,4,0))</f>
        <v/>
      </c>
      <c r="L185" s="152" t="str">
        <f>IF(VLOOKUP(A185,'Aux - pivots1'!$A:$E,5,0)=0, "",VLOOKUP(A185,'Aux - pivots1'!$A:$E,5,0))</f>
        <v/>
      </c>
      <c r="M185" s="205"/>
      <c r="N185" s="205"/>
      <c r="O185" s="338" t="s">
        <v>27</v>
      </c>
    </row>
    <row r="186" spans="1:15" ht="16.2"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52" t="str">
        <f>IF(VLOOKUP(A186,'Aux - pivots1'!$A:$E,3,0)=0, "",VLOOKUP(A186,'Aux - pivots1'!$A:$E,3,0))</f>
        <v/>
      </c>
      <c r="K186" s="152" t="str">
        <f>IF(VLOOKUP(A186,'Aux - pivots1'!$A:$E,4,0)=0, "",VLOOKUP(A186,'Aux - pivots1'!$A:$E,4,0))</f>
        <v/>
      </c>
      <c r="L186" s="152" t="str">
        <f>IF(VLOOKUP(A186,'Aux - pivots1'!$A:$E,5,0)=0, "",VLOOKUP(A186,'Aux - pivots1'!$A:$E,5,0))</f>
        <v/>
      </c>
      <c r="M186" s="205"/>
      <c r="N186" s="205"/>
      <c r="O186" s="338" t="s">
        <v>27</v>
      </c>
    </row>
    <row r="187" spans="1:15" ht="16.2"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52" t="str">
        <f>IF(VLOOKUP(A187,'Aux - pivots1'!$A:$E,3,0)=0, "",VLOOKUP(A187,'Aux - pivots1'!$A:$E,3,0))</f>
        <v/>
      </c>
      <c r="K187" s="152" t="str">
        <f>IF(VLOOKUP(A187,'Aux - pivots1'!$A:$E,4,0)=0, "",VLOOKUP(A187,'Aux - pivots1'!$A:$E,4,0))</f>
        <v/>
      </c>
      <c r="L187" s="152" t="str">
        <f>IF(VLOOKUP(A187,'Aux - pivots1'!$A:$E,5,0)=0, "",VLOOKUP(A187,'Aux - pivots1'!$A:$E,5,0))</f>
        <v/>
      </c>
      <c r="M187" s="205"/>
      <c r="N187" s="205"/>
      <c r="O187" s="338" t="s">
        <v>27</v>
      </c>
    </row>
    <row r="188" spans="1:15" ht="16.2"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52" t="str">
        <f>IF(VLOOKUP(A188,'Aux - pivots1'!$A:$E,3,0)=0, "",VLOOKUP(A188,'Aux - pivots1'!$A:$E,3,0))</f>
        <v/>
      </c>
      <c r="K188" s="152" t="str">
        <f>IF(VLOOKUP(A188,'Aux - pivots1'!$A:$E,4,0)=0, "",VLOOKUP(A188,'Aux - pivots1'!$A:$E,4,0))</f>
        <v/>
      </c>
      <c r="L188" s="152" t="str">
        <f>IF(VLOOKUP(A188,'Aux - pivots1'!$A:$E,5,0)=0, "",VLOOKUP(A188,'Aux - pivots1'!$A:$E,5,0))</f>
        <v/>
      </c>
      <c r="M188" s="205"/>
      <c r="N188" s="205"/>
      <c r="O188" s="338" t="s">
        <v>27</v>
      </c>
    </row>
    <row r="189" spans="1:15" ht="16.2"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52" t="str">
        <f>IF(VLOOKUP(A189,'Aux - pivots1'!$A:$E,3,0)=0, "",VLOOKUP(A189,'Aux - pivots1'!$A:$E,3,0))</f>
        <v/>
      </c>
      <c r="K189" s="152" t="str">
        <f>IF(VLOOKUP(A189,'Aux - pivots1'!$A:$E,4,0)=0, "",VLOOKUP(A189,'Aux - pivots1'!$A:$E,4,0))</f>
        <v/>
      </c>
      <c r="L189" s="152" t="str">
        <f>IF(VLOOKUP(A189,'Aux - pivots1'!$A:$E,5,0)=0, "",VLOOKUP(A189,'Aux - pivots1'!$A:$E,5,0))</f>
        <v/>
      </c>
      <c r="M189" s="205"/>
      <c r="N189" s="205"/>
      <c r="O189" s="338" t="s">
        <v>27</v>
      </c>
    </row>
    <row r="190" spans="1:15" ht="16.2"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52" t="str">
        <f>IF(VLOOKUP(A190,'Aux - pivots1'!$A:$E,3,0)=0, "",VLOOKUP(A190,'Aux - pivots1'!$A:$E,3,0))</f>
        <v/>
      </c>
      <c r="K190" s="152" t="str">
        <f>IF(VLOOKUP(A190,'Aux - pivots1'!$A:$E,4,0)=0, "",VLOOKUP(A190,'Aux - pivots1'!$A:$E,4,0))</f>
        <v/>
      </c>
      <c r="L190" s="152" t="str">
        <f>IF(VLOOKUP(A190,'Aux - pivots1'!$A:$E,5,0)=0, "",VLOOKUP(A190,'Aux - pivots1'!$A:$E,5,0))</f>
        <v/>
      </c>
      <c r="M190" s="205"/>
      <c r="N190" s="205"/>
      <c r="O190" s="338" t="s">
        <v>27</v>
      </c>
    </row>
    <row r="191" spans="1:15" ht="16.2"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52" t="str">
        <f>IF(VLOOKUP(A191,'Aux - pivots1'!$A:$E,3,0)=0, "",VLOOKUP(A191,'Aux - pivots1'!$A:$E,3,0))</f>
        <v/>
      </c>
      <c r="K191" s="152" t="str">
        <f>IF(VLOOKUP(A191,'Aux - pivots1'!$A:$E,4,0)=0, "",VLOOKUP(A191,'Aux - pivots1'!$A:$E,4,0))</f>
        <v/>
      </c>
      <c r="L191" s="152" t="str">
        <f>IF(VLOOKUP(A191,'Aux - pivots1'!$A:$E,5,0)=0, "",VLOOKUP(A191,'Aux - pivots1'!$A:$E,5,0))</f>
        <v/>
      </c>
      <c r="M191" s="205"/>
      <c r="N191" s="205"/>
      <c r="O191" s="338" t="s">
        <v>27</v>
      </c>
    </row>
    <row r="192" spans="1:15" ht="16.2"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52" t="str">
        <f>IF(VLOOKUP(A192,'Aux - pivots1'!$A:$E,3,0)=0, "",VLOOKUP(A192,'Aux - pivots1'!$A:$E,3,0))</f>
        <v/>
      </c>
      <c r="K192" s="152" t="str">
        <f>IF(VLOOKUP(A192,'Aux - pivots1'!$A:$E,4,0)=0, "",VLOOKUP(A192,'Aux - pivots1'!$A:$E,4,0))</f>
        <v/>
      </c>
      <c r="L192" s="152" t="str">
        <f>IF(VLOOKUP(A192,'Aux - pivots1'!$A:$E,5,0)=0, "",VLOOKUP(A192,'Aux - pivots1'!$A:$E,5,0))</f>
        <v/>
      </c>
      <c r="M192" s="205"/>
      <c r="N192" s="205"/>
      <c r="O192" s="338" t="s">
        <v>27</v>
      </c>
    </row>
    <row r="193" spans="1:15" ht="16.2"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52" t="str">
        <f>IF(VLOOKUP(A193,'Aux - pivots1'!$A:$E,3,0)=0, "",VLOOKUP(A193,'Aux - pivots1'!$A:$E,3,0))</f>
        <v/>
      </c>
      <c r="K193" s="152" t="str">
        <f>IF(VLOOKUP(A193,'Aux - pivots1'!$A:$E,4,0)=0, "",VLOOKUP(A193,'Aux - pivots1'!$A:$E,4,0))</f>
        <v/>
      </c>
      <c r="L193" s="152" t="str">
        <f>IF(VLOOKUP(A193,'Aux - pivots1'!$A:$E,5,0)=0, "",VLOOKUP(A193,'Aux - pivots1'!$A:$E,5,0))</f>
        <v/>
      </c>
      <c r="M193" s="205"/>
      <c r="N193" s="205"/>
      <c r="O193" s="338" t="s">
        <v>27</v>
      </c>
    </row>
    <row r="194" spans="1:15" ht="16.2"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52" t="str">
        <f>IF(VLOOKUP(A194,'Aux - pivots1'!$A:$E,3,0)=0, "",VLOOKUP(A194,'Aux - pivots1'!$A:$E,3,0))</f>
        <v/>
      </c>
      <c r="K194" s="152" t="str">
        <f>IF(VLOOKUP(A194,'Aux - pivots1'!$A:$E,4,0)=0, "",VLOOKUP(A194,'Aux - pivots1'!$A:$E,4,0))</f>
        <v/>
      </c>
      <c r="L194" s="152" t="str">
        <f>IF(VLOOKUP(A194,'Aux - pivots1'!$A:$E,5,0)=0, "",VLOOKUP(A194,'Aux - pivots1'!$A:$E,5,0))</f>
        <v/>
      </c>
      <c r="M194" s="205"/>
      <c r="N194" s="205"/>
      <c r="O194" s="338" t="s">
        <v>27</v>
      </c>
    </row>
    <row r="195" spans="1:15" ht="16.2"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52" t="str">
        <f>IF(VLOOKUP(A195,'Aux - pivots1'!$A:$E,3,0)=0, "",VLOOKUP(A195,'Aux - pivots1'!$A:$E,3,0))</f>
        <v/>
      </c>
      <c r="K195" s="152" t="str">
        <f>IF(VLOOKUP(A195,'Aux - pivots1'!$A:$E,4,0)=0, "",VLOOKUP(A195,'Aux - pivots1'!$A:$E,4,0))</f>
        <v/>
      </c>
      <c r="L195" s="152" t="str">
        <f>IF(VLOOKUP(A195,'Aux - pivots1'!$A:$E,5,0)=0, "",VLOOKUP(A195,'Aux - pivots1'!$A:$E,5,0))</f>
        <v/>
      </c>
      <c r="M195" s="205"/>
      <c r="N195" s="205"/>
      <c r="O195" s="338" t="s">
        <v>27</v>
      </c>
    </row>
    <row r="196" spans="1:15" ht="16.2"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52" t="str">
        <f>IF(VLOOKUP(A196,'Aux - pivots1'!$A:$E,3,0)=0, "",VLOOKUP(A196,'Aux - pivots1'!$A:$E,3,0))</f>
        <v/>
      </c>
      <c r="K196" s="152" t="str">
        <f>IF(VLOOKUP(A196,'Aux - pivots1'!$A:$E,4,0)=0, "",VLOOKUP(A196,'Aux - pivots1'!$A:$E,4,0))</f>
        <v/>
      </c>
      <c r="L196" s="152" t="str">
        <f>IF(VLOOKUP(A196,'Aux - pivots1'!$A:$E,5,0)=0, "",VLOOKUP(A196,'Aux - pivots1'!$A:$E,5,0))</f>
        <v/>
      </c>
      <c r="M196" s="205"/>
      <c r="N196" s="205"/>
      <c r="O196" s="338" t="s">
        <v>27</v>
      </c>
    </row>
    <row r="197" spans="1:15" ht="16.2"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52" t="str">
        <f>IF(VLOOKUP(A197,'Aux - pivots1'!$A:$E,3,0)=0, "",VLOOKUP(A197,'Aux - pivots1'!$A:$E,3,0))</f>
        <v/>
      </c>
      <c r="K197" s="152" t="str">
        <f>IF(VLOOKUP(A197,'Aux - pivots1'!$A:$E,4,0)=0, "",VLOOKUP(A197,'Aux - pivots1'!$A:$E,4,0))</f>
        <v/>
      </c>
      <c r="L197" s="152" t="str">
        <f>IF(VLOOKUP(A197,'Aux - pivots1'!$A:$E,5,0)=0, "",VLOOKUP(A197,'Aux - pivots1'!$A:$E,5,0))</f>
        <v/>
      </c>
      <c r="M197" s="205"/>
      <c r="N197" s="205"/>
      <c r="O197" s="338" t="s">
        <v>27</v>
      </c>
    </row>
    <row r="198" spans="1:15" ht="16.2"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52" t="str">
        <f>IF(VLOOKUP(A198,'Aux - pivots1'!$A:$E,3,0)=0, "",VLOOKUP(A198,'Aux - pivots1'!$A:$E,3,0))</f>
        <v/>
      </c>
      <c r="K198" s="152" t="str">
        <f>IF(VLOOKUP(A198,'Aux - pivots1'!$A:$E,4,0)=0, "",VLOOKUP(A198,'Aux - pivots1'!$A:$E,4,0))</f>
        <v/>
      </c>
      <c r="L198" s="152" t="str">
        <f>IF(VLOOKUP(A198,'Aux - pivots1'!$A:$E,5,0)=0, "",VLOOKUP(A198,'Aux - pivots1'!$A:$E,5,0))</f>
        <v/>
      </c>
      <c r="M198" s="205"/>
      <c r="N198" s="205"/>
      <c r="O198" s="338" t="s">
        <v>27</v>
      </c>
    </row>
    <row r="199" spans="1:15" ht="16.2"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52" t="str">
        <f>IF(VLOOKUP(A199,'Aux - pivots1'!$A:$E,3,0)=0, "",VLOOKUP(A199,'Aux - pivots1'!$A:$E,3,0))</f>
        <v/>
      </c>
      <c r="K199" s="152" t="str">
        <f>IF(VLOOKUP(A199,'Aux - pivots1'!$A:$E,4,0)=0, "",VLOOKUP(A199,'Aux - pivots1'!$A:$E,4,0))</f>
        <v/>
      </c>
      <c r="L199" s="152" t="str">
        <f>IF(VLOOKUP(A199,'Aux - pivots1'!$A:$E,5,0)=0, "",VLOOKUP(A199,'Aux - pivots1'!$A:$E,5,0))</f>
        <v/>
      </c>
      <c r="M199" s="205"/>
      <c r="N199" s="205"/>
      <c r="O199" s="338" t="s">
        <v>27</v>
      </c>
    </row>
    <row r="200" spans="1:15" ht="16.2"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52" t="str">
        <f>IF(VLOOKUP(A200,'Aux - pivots1'!$A:$E,3,0)=0, "",VLOOKUP(A200,'Aux - pivots1'!$A:$E,3,0))</f>
        <v/>
      </c>
      <c r="K200" s="152" t="str">
        <f>IF(VLOOKUP(A200,'Aux - pivots1'!$A:$E,4,0)=0, "",VLOOKUP(A200,'Aux - pivots1'!$A:$E,4,0))</f>
        <v/>
      </c>
      <c r="L200" s="152" t="str">
        <f>IF(VLOOKUP(A200,'Aux - pivots1'!$A:$E,5,0)=0, "",VLOOKUP(A200,'Aux - pivots1'!$A:$E,5,0))</f>
        <v/>
      </c>
      <c r="M200" s="205"/>
      <c r="N200" s="205"/>
      <c r="O200" s="338" t="s">
        <v>27</v>
      </c>
    </row>
    <row r="201" spans="1:15" ht="16.2"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52" t="str">
        <f>IF(VLOOKUP(A201,'Aux - pivots1'!$A:$E,3,0)=0, "",VLOOKUP(A201,'Aux - pivots1'!$A:$E,3,0))</f>
        <v/>
      </c>
      <c r="K201" s="152" t="str">
        <f>IF(VLOOKUP(A201,'Aux - pivots1'!$A:$E,4,0)=0, "",VLOOKUP(A201,'Aux - pivots1'!$A:$E,4,0))</f>
        <v/>
      </c>
      <c r="L201" s="152" t="str">
        <f>IF(VLOOKUP(A201,'Aux - pivots1'!$A:$E,5,0)=0, "",VLOOKUP(A201,'Aux - pivots1'!$A:$E,5,0))</f>
        <v/>
      </c>
      <c r="M201" s="205"/>
      <c r="N201" s="205"/>
      <c r="O201" s="338" t="s">
        <v>27</v>
      </c>
    </row>
    <row r="202" spans="1:15" ht="16.2"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52" t="str">
        <f>IF(VLOOKUP(A202,'Aux - pivots1'!$A:$E,3,0)=0, "",VLOOKUP(A202,'Aux - pivots1'!$A:$E,3,0))</f>
        <v/>
      </c>
      <c r="K202" s="152" t="str">
        <f>IF(VLOOKUP(A202,'Aux - pivots1'!$A:$E,4,0)=0, "",VLOOKUP(A202,'Aux - pivots1'!$A:$E,4,0))</f>
        <v/>
      </c>
      <c r="L202" s="152" t="str">
        <f>IF(VLOOKUP(A202,'Aux - pivots1'!$A:$E,5,0)=0, "",VLOOKUP(A202,'Aux - pivots1'!$A:$E,5,0))</f>
        <v/>
      </c>
      <c r="M202" s="205"/>
      <c r="N202" s="205"/>
      <c r="O202" s="338" t="s">
        <v>27</v>
      </c>
    </row>
    <row r="203" spans="1:15" ht="16.2"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52" t="str">
        <f>IF(VLOOKUP(A203,'Aux - pivots1'!$A:$E,3,0)=0, "",VLOOKUP(A203,'Aux - pivots1'!$A:$E,3,0))</f>
        <v/>
      </c>
      <c r="K203" s="152" t="str">
        <f>IF(VLOOKUP(A203,'Aux - pivots1'!$A:$E,4,0)=0, "",VLOOKUP(A203,'Aux - pivots1'!$A:$E,4,0))</f>
        <v/>
      </c>
      <c r="L203" s="152" t="str">
        <f>IF(VLOOKUP(A203,'Aux - pivots1'!$A:$E,5,0)=0, "",VLOOKUP(A203,'Aux - pivots1'!$A:$E,5,0))</f>
        <v/>
      </c>
      <c r="M203" s="205"/>
      <c r="N203" s="205"/>
      <c r="O203" s="338" t="s">
        <v>27</v>
      </c>
    </row>
    <row r="204" spans="1:15" ht="16.2"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52" t="str">
        <f>IF(VLOOKUP(A204,'Aux - pivots1'!$A:$E,3,0)=0, "",VLOOKUP(A204,'Aux - pivots1'!$A:$E,3,0))</f>
        <v/>
      </c>
      <c r="K204" s="152" t="str">
        <f>IF(VLOOKUP(A204,'Aux - pivots1'!$A:$E,4,0)=0, "",VLOOKUP(A204,'Aux - pivots1'!$A:$E,4,0))</f>
        <v/>
      </c>
      <c r="L204" s="152" t="str">
        <f>IF(VLOOKUP(A204,'Aux - pivots1'!$A:$E,5,0)=0, "",VLOOKUP(A204,'Aux - pivots1'!$A:$E,5,0))</f>
        <v/>
      </c>
      <c r="M204" s="205"/>
      <c r="N204" s="205"/>
      <c r="O204" s="338" t="s">
        <v>27</v>
      </c>
    </row>
    <row r="205" spans="1:15" ht="16.2"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52" t="str">
        <f>IF(VLOOKUP(A205,'Aux - pivots1'!$A:$E,3,0)=0, "",VLOOKUP(A205,'Aux - pivots1'!$A:$E,3,0))</f>
        <v/>
      </c>
      <c r="K205" s="152" t="str">
        <f>IF(VLOOKUP(A205,'Aux - pivots1'!$A:$E,4,0)=0, "",VLOOKUP(A205,'Aux - pivots1'!$A:$E,4,0))</f>
        <v/>
      </c>
      <c r="L205" s="152" t="str">
        <f>IF(VLOOKUP(A205,'Aux - pivots1'!$A:$E,5,0)=0, "",VLOOKUP(A205,'Aux - pivots1'!$A:$E,5,0))</f>
        <v/>
      </c>
      <c r="M205" s="205"/>
      <c r="N205" s="205"/>
      <c r="O205" s="338" t="s">
        <v>27</v>
      </c>
    </row>
    <row r="206" spans="1:15" ht="16.2"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52" t="str">
        <f>IF(VLOOKUP(A206,'Aux - pivots1'!$A:$E,3,0)=0, "",VLOOKUP(A206,'Aux - pivots1'!$A:$E,3,0))</f>
        <v/>
      </c>
      <c r="K206" s="152" t="str">
        <f>IF(VLOOKUP(A206,'Aux - pivots1'!$A:$E,4,0)=0, "",VLOOKUP(A206,'Aux - pivots1'!$A:$E,4,0))</f>
        <v/>
      </c>
      <c r="L206" s="152" t="str">
        <f>IF(VLOOKUP(A206,'Aux - pivots1'!$A:$E,5,0)=0, "",VLOOKUP(A206,'Aux - pivots1'!$A:$E,5,0))</f>
        <v/>
      </c>
      <c r="M206" s="205"/>
      <c r="N206" s="205"/>
      <c r="O206" s="338" t="s">
        <v>27</v>
      </c>
    </row>
    <row r="207" spans="1:15" ht="16.2"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52" t="str">
        <f>IF(VLOOKUP(A207,'Aux - pivots1'!$A:$E,3,0)=0, "",VLOOKUP(A207,'Aux - pivots1'!$A:$E,3,0))</f>
        <v/>
      </c>
      <c r="K207" s="152" t="str">
        <f>IF(VLOOKUP(A207,'Aux - pivots1'!$A:$E,4,0)=0, "",VLOOKUP(A207,'Aux - pivots1'!$A:$E,4,0))</f>
        <v/>
      </c>
      <c r="L207" s="152" t="str">
        <f>IF(VLOOKUP(A207,'Aux - pivots1'!$A:$E,5,0)=0, "",VLOOKUP(A207,'Aux - pivots1'!$A:$E,5,0))</f>
        <v/>
      </c>
      <c r="M207" s="205"/>
      <c r="N207" s="205"/>
      <c r="O207" s="338" t="s">
        <v>27</v>
      </c>
    </row>
    <row r="208" spans="1:15" ht="16.2"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52" t="str">
        <f>IF(VLOOKUP(A208,'Aux - pivots1'!$A:$E,3,0)=0, "",VLOOKUP(A208,'Aux - pivots1'!$A:$E,3,0))</f>
        <v/>
      </c>
      <c r="K208" s="152" t="str">
        <f>IF(VLOOKUP(A208,'Aux - pivots1'!$A:$E,4,0)=0, "",VLOOKUP(A208,'Aux - pivots1'!$A:$E,4,0))</f>
        <v/>
      </c>
      <c r="L208" s="152" t="str">
        <f>IF(VLOOKUP(A208,'Aux - pivots1'!$A:$E,5,0)=0, "",VLOOKUP(A208,'Aux - pivots1'!$A:$E,5,0))</f>
        <v/>
      </c>
      <c r="M208" s="205"/>
      <c r="N208" s="205"/>
      <c r="O208" s="338" t="s">
        <v>27</v>
      </c>
    </row>
    <row r="209" spans="1:17" ht="16.2"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52" t="str">
        <f>IF(VLOOKUP(A209,'Aux - pivots1'!$A:$E,3,0)=0, "",VLOOKUP(A209,'Aux - pivots1'!$A:$E,3,0))</f>
        <v/>
      </c>
      <c r="K209" s="152" t="str">
        <f>IF(VLOOKUP(A209,'Aux - pivots1'!$A:$E,4,0)=0, "",VLOOKUP(A209,'Aux - pivots1'!$A:$E,4,0))</f>
        <v/>
      </c>
      <c r="L209" s="152" t="str">
        <f>IF(VLOOKUP(A209,'Aux - pivots1'!$A:$E,5,0)=0, "",VLOOKUP(A209,'Aux - pivots1'!$A:$E,5,0))</f>
        <v/>
      </c>
      <c r="M209" s="205"/>
      <c r="N209" s="205"/>
      <c r="O209" s="338" t="s">
        <v>27</v>
      </c>
    </row>
    <row r="210" spans="1:17" ht="16.2"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52" t="str">
        <f>IF(VLOOKUP(A210,'Aux - pivots1'!$A:$E,3,0)=0, "",VLOOKUP(A210,'Aux - pivots1'!$A:$E,3,0))</f>
        <v/>
      </c>
      <c r="K210" s="152" t="str">
        <f>IF(VLOOKUP(A210,'Aux - pivots1'!$A:$E,4,0)=0, "",VLOOKUP(A210,'Aux - pivots1'!$A:$E,4,0))</f>
        <v/>
      </c>
      <c r="L210" s="152" t="str">
        <f>IF(VLOOKUP(A210,'Aux - pivots1'!$A:$E,5,0)=0, "",VLOOKUP(A210,'Aux - pivots1'!$A:$E,5,0))</f>
        <v/>
      </c>
      <c r="M210" s="205"/>
      <c r="N210" s="205"/>
      <c r="O210" s="338" t="s">
        <v>27</v>
      </c>
    </row>
    <row r="211" spans="1:17" ht="16.2"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52" t="str">
        <f>IF(VLOOKUP(A211,'Aux - pivots1'!$A:$E,3,0)=0, "",VLOOKUP(A211,'Aux - pivots1'!$A:$E,3,0))</f>
        <v/>
      </c>
      <c r="K211" s="152" t="str">
        <f>IF(VLOOKUP(A211,'Aux - pivots1'!$A:$E,4,0)=0, "",VLOOKUP(A211,'Aux - pivots1'!$A:$E,4,0))</f>
        <v/>
      </c>
      <c r="L211" s="152" t="str">
        <f>IF(VLOOKUP(A211,'Aux - pivots1'!$A:$E,5,0)=0, "",VLOOKUP(A211,'Aux - pivots1'!$A:$E,5,0))</f>
        <v/>
      </c>
      <c r="M211" s="205"/>
      <c r="N211" s="205"/>
      <c r="O211" s="338" t="s">
        <v>27</v>
      </c>
    </row>
    <row r="212" spans="1:17" ht="16.2"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52" t="str">
        <f>IF(VLOOKUP(A212,'Aux - pivots1'!$A:$E,3,0)=0, "",VLOOKUP(A212,'Aux - pivots1'!$A:$E,3,0))</f>
        <v/>
      </c>
      <c r="K212" s="152" t="str">
        <f>IF(VLOOKUP(A212,'Aux - pivots1'!$A:$E,4,0)=0, "",VLOOKUP(A212,'Aux - pivots1'!$A:$E,4,0))</f>
        <v/>
      </c>
      <c r="L212" s="152" t="str">
        <f>IF(VLOOKUP(A212,'Aux - pivots1'!$A:$E,5,0)=0, "",VLOOKUP(A212,'Aux - pivots1'!$A:$E,5,0))</f>
        <v/>
      </c>
      <c r="M212" s="205"/>
      <c r="N212" s="205"/>
      <c r="O212" s="338" t="s">
        <v>27</v>
      </c>
    </row>
    <row r="213" spans="1:17" ht="16.2"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52" t="str">
        <f>IF(VLOOKUP(A213,'Aux - pivots1'!$A:$E,3,0)=0, "",VLOOKUP(A213,'Aux - pivots1'!$A:$E,3,0))</f>
        <v/>
      </c>
      <c r="K213" s="152" t="str">
        <f>IF(VLOOKUP(A213,'Aux - pivots1'!$A:$E,4,0)=0, "",VLOOKUP(A213,'Aux - pivots1'!$A:$E,4,0))</f>
        <v/>
      </c>
      <c r="L213" s="152" t="str">
        <f>IF(VLOOKUP(A213,'Aux - pivots1'!$A:$E,5,0)=0, "",VLOOKUP(A213,'Aux - pivots1'!$A:$E,5,0))</f>
        <v/>
      </c>
      <c r="M213" s="205"/>
      <c r="N213" s="205"/>
      <c r="O213" s="338" t="s">
        <v>27</v>
      </c>
    </row>
    <row r="214" spans="1:17" ht="16.2" customHeight="1">
      <c r="A214" s="29" t="str">
        <f t="shared" si="3"/>
        <v>PROPERTY_ENERGY_CERTIFICATECURRENT_ENERGY_RATING_PERCENTAGE</v>
      </c>
      <c r="B214" s="141" t="s">
        <v>26</v>
      </c>
      <c r="C214" s="137" t="s">
        <v>54</v>
      </c>
      <c r="D214" s="133" t="s">
        <v>40</v>
      </c>
      <c r="E214" s="134" t="s">
        <v>123</v>
      </c>
      <c r="F214" s="133" t="s">
        <v>2002</v>
      </c>
      <c r="G214" s="135" t="str">
        <f>VLOOKUP(A214,Plano_V3!$A$26:$G$753,7,0)</f>
        <v>2.1 Em Teste</v>
      </c>
      <c r="H214" s="135"/>
      <c r="I214" s="142" t="s">
        <v>2004</v>
      </c>
      <c r="J214" s="152" t="str">
        <f>IF(VLOOKUP(A214,'Aux - pivots1'!$A:$E,3,0)=0, "",VLOOKUP(A214,'Aux - pivots1'!$A:$E,3,0))</f>
        <v/>
      </c>
      <c r="K214" s="152" t="str">
        <f>IF(VLOOKUP(A214,'Aux - pivots1'!$A:$E,4,0)=0, "",VLOOKUP(A214,'Aux - pivots1'!$A:$E,4,0))</f>
        <v/>
      </c>
      <c r="L214" s="152" t="str">
        <f>IF(VLOOKUP(A214,'Aux - pivots1'!$A:$E,5,0)=0, "",VLOOKUP(A214,'Aux - pivots1'!$A:$E,5,0))</f>
        <v/>
      </c>
      <c r="M214" s="205"/>
      <c r="N214" s="205"/>
      <c r="O214" s="338" t="s">
        <v>27</v>
      </c>
      <c r="Q214" s="268" t="s">
        <v>1884</v>
      </c>
    </row>
    <row r="215" spans="1:17" ht="16.2" customHeight="1">
      <c r="A215" s="29" t="str">
        <f t="shared" si="3"/>
        <v>modesg_param_sfics_taxon_europeian.a.</v>
      </c>
      <c r="B215" s="141" t="s">
        <v>26</v>
      </c>
      <c r="C215" s="137" t="s">
        <v>181</v>
      </c>
      <c r="D215" s="133" t="s">
        <v>36</v>
      </c>
      <c r="E215" s="134" t="s">
        <v>2154</v>
      </c>
      <c r="F215" s="133" t="s">
        <v>38</v>
      </c>
      <c r="G215" s="135" t="str">
        <f>VLOOKUP(A215,Plano_V3!$A$26:$G$753,7,0)</f>
        <v>4. Validação EF</v>
      </c>
      <c r="H215" s="135" t="s">
        <v>612</v>
      </c>
      <c r="I215" s="142"/>
      <c r="J215" s="152" t="str">
        <f>IF(VLOOKUP(A215,'Aux - pivots1'!$A:$E,3,0)=0, "",VLOOKUP(A215,'Aux - pivots1'!$A:$E,3,0))</f>
        <v/>
      </c>
      <c r="K215" s="152" t="str">
        <f>IF(VLOOKUP(A215,'Aux - pivots1'!$A:$E,4,0)=0, "",VLOOKUP(A215,'Aux - pivots1'!$A:$E,4,0))</f>
        <v/>
      </c>
      <c r="L215" s="152" t="str">
        <f>IF(VLOOKUP(A215,'Aux - pivots1'!$A:$E,5,0)=0, "",VLOOKUP(A215,'Aux - pivots1'!$A:$E,5,0))</f>
        <v/>
      </c>
      <c r="M215" s="205"/>
      <c r="N215" s="205"/>
      <c r="O215" s="337" t="s">
        <v>29</v>
      </c>
      <c r="Q215" s="268" t="s">
        <v>2375</v>
      </c>
    </row>
    <row r="216" spans="1:17" ht="16.2" customHeight="1">
      <c r="A216" s="29" t="str">
        <f t="shared" si="3"/>
        <v>modesg_param_sfics_taxon_europeiaref_date</v>
      </c>
      <c r="B216" s="141" t="s">
        <v>26</v>
      </c>
      <c r="C216" s="137" t="s">
        <v>181</v>
      </c>
      <c r="D216" s="133" t="s">
        <v>40</v>
      </c>
      <c r="E216" s="134" t="s">
        <v>2154</v>
      </c>
      <c r="F216" s="133" t="s">
        <v>208</v>
      </c>
      <c r="G216" s="135" t="str">
        <f>VLOOKUP(A216,Plano_V3!$A$26:$G$753,7,0)</f>
        <v>4. Validação EF</v>
      </c>
      <c r="H216" s="135" t="s">
        <v>612</v>
      </c>
      <c r="I216" s="153"/>
      <c r="J216" s="152" t="str">
        <f>IF(VLOOKUP(A216,'Aux - pivots1'!$A:$E,3,0)=0, "",VLOOKUP(A216,'Aux - pivots1'!$A:$E,3,0))</f>
        <v/>
      </c>
      <c r="K216" s="152" t="str">
        <f>IF(VLOOKUP(A216,'Aux - pivots1'!$A:$E,4,0)=0, "",VLOOKUP(A216,'Aux - pivots1'!$A:$E,4,0))</f>
        <v/>
      </c>
      <c r="L216" s="152" t="str">
        <f>IF(VLOOKUP(A216,'Aux - pivots1'!$A:$E,5,0)=0, "",VLOOKUP(A216,'Aux - pivots1'!$A:$E,5,0))</f>
        <v/>
      </c>
      <c r="M216" s="205"/>
      <c r="N216" s="205"/>
      <c r="O216" s="337" t="s">
        <v>29</v>
      </c>
      <c r="Q216" s="268" t="s">
        <v>2375</v>
      </c>
    </row>
    <row r="217" spans="1:17" ht="16.2" customHeight="1">
      <c r="A217" s="29" t="str">
        <f t="shared" si="3"/>
        <v>modesg_param_sfics_taxon_europeiacod_regra</v>
      </c>
      <c r="B217" s="141" t="s">
        <v>26</v>
      </c>
      <c r="C217" s="137" t="s">
        <v>181</v>
      </c>
      <c r="D217" s="133" t="s">
        <v>40</v>
      </c>
      <c r="E217" s="134" t="s">
        <v>2154</v>
      </c>
      <c r="F217" s="133" t="s">
        <v>191</v>
      </c>
      <c r="G217" s="135" t="str">
        <f>VLOOKUP(A217,Plano_V3!$A$26:$G$753,7,0)</f>
        <v>4. Validação EF</v>
      </c>
      <c r="H217" s="135" t="s">
        <v>612</v>
      </c>
      <c r="I217" s="153"/>
      <c r="J217" s="152" t="str">
        <f>IF(VLOOKUP(A217,'Aux - pivots1'!$A:$E,3,0)=0, "",VLOOKUP(A217,'Aux - pivots1'!$A:$E,3,0))</f>
        <v/>
      </c>
      <c r="K217" s="152" t="str">
        <f>IF(VLOOKUP(A217,'Aux - pivots1'!$A:$E,4,0)=0, "",VLOOKUP(A217,'Aux - pivots1'!$A:$E,4,0))</f>
        <v/>
      </c>
      <c r="L217" s="152" t="str">
        <f>IF(VLOOKUP(A217,'Aux - pivots1'!$A:$E,5,0)=0, "",VLOOKUP(A217,'Aux - pivots1'!$A:$E,5,0))</f>
        <v/>
      </c>
      <c r="M217" s="205"/>
      <c r="N217" s="205"/>
      <c r="O217" s="337" t="s">
        <v>29</v>
      </c>
      <c r="Q217" s="268" t="s">
        <v>2375</v>
      </c>
    </row>
    <row r="218" spans="1:17" ht="16.2" customHeight="1">
      <c r="A218" s="29" t="str">
        <f t="shared" si="3"/>
        <v>modesg_param_sfics_taxon_europeiadscrc</v>
      </c>
      <c r="B218" s="141" t="s">
        <v>26</v>
      </c>
      <c r="C218" s="137" t="s">
        <v>181</v>
      </c>
      <c r="D218" s="133" t="s">
        <v>40</v>
      </c>
      <c r="E218" s="134" t="s">
        <v>2154</v>
      </c>
      <c r="F218" s="133" t="s">
        <v>197</v>
      </c>
      <c r="G218" s="135" t="str">
        <f>VLOOKUP(A218,Plano_V3!$A$26:$G$753,7,0)</f>
        <v>4. Validação EF</v>
      </c>
      <c r="H218" s="135" t="s">
        <v>612</v>
      </c>
      <c r="I218" s="153"/>
      <c r="J218" s="152" t="str">
        <f>IF(VLOOKUP(A218,'Aux - pivots1'!$A:$E,3,0)=0, "",VLOOKUP(A218,'Aux - pivots1'!$A:$E,3,0))</f>
        <v/>
      </c>
      <c r="K218" s="152" t="str">
        <f>IF(VLOOKUP(A218,'Aux - pivots1'!$A:$E,4,0)=0, "",VLOOKUP(A218,'Aux - pivots1'!$A:$E,4,0))</f>
        <v/>
      </c>
      <c r="L218" s="152" t="str">
        <f>IF(VLOOKUP(A218,'Aux - pivots1'!$A:$E,5,0)=0, "",VLOOKUP(A218,'Aux - pivots1'!$A:$E,5,0))</f>
        <v/>
      </c>
      <c r="M218" s="205"/>
      <c r="N218" s="205"/>
      <c r="O218" s="337" t="s">
        <v>29</v>
      </c>
      <c r="Q218" s="268" t="s">
        <v>2375</v>
      </c>
    </row>
    <row r="219" spans="1:17" ht="16.2" customHeight="1">
      <c r="A219" s="29" t="str">
        <f t="shared" si="3"/>
        <v>modesg_param_sfics_taxon_europeiacomite</v>
      </c>
      <c r="B219" s="141" t="s">
        <v>26</v>
      </c>
      <c r="C219" s="137" t="s">
        <v>181</v>
      </c>
      <c r="D219" s="133" t="s">
        <v>40</v>
      </c>
      <c r="E219" s="134" t="s">
        <v>2154</v>
      </c>
      <c r="F219" s="133" t="s">
        <v>192</v>
      </c>
      <c r="G219" s="135" t="str">
        <f>VLOOKUP(A219,Plano_V3!$A$26:$G$753,7,0)</f>
        <v>4. Validação EF</v>
      </c>
      <c r="H219" s="135" t="s">
        <v>612</v>
      </c>
      <c r="I219" s="153"/>
      <c r="J219" s="152" t="str">
        <f>IF(VLOOKUP(A219,'Aux - pivots1'!$A:$E,3,0)=0, "",VLOOKUP(A219,'Aux - pivots1'!$A:$E,3,0))</f>
        <v/>
      </c>
      <c r="K219" s="152" t="str">
        <f>IF(VLOOKUP(A219,'Aux - pivots1'!$A:$E,4,0)=0, "",VLOOKUP(A219,'Aux - pivots1'!$A:$E,4,0))</f>
        <v/>
      </c>
      <c r="L219" s="152" t="str">
        <f>IF(VLOOKUP(A219,'Aux - pivots1'!$A:$E,5,0)=0, "",VLOOKUP(A219,'Aux - pivots1'!$A:$E,5,0))</f>
        <v/>
      </c>
      <c r="M219" s="205"/>
      <c r="N219" s="205"/>
      <c r="O219" s="337" t="s">
        <v>29</v>
      </c>
      <c r="Q219" s="268" t="s">
        <v>2375</v>
      </c>
    </row>
    <row r="220" spans="1:17" ht="16.2" customHeight="1">
      <c r="A220" s="29" t="str">
        <f t="shared" si="3"/>
        <v>modesg_param_sfics_taxon_europeiadata_aprvc</v>
      </c>
      <c r="B220" s="141" t="s">
        <v>26</v>
      </c>
      <c r="C220" s="137" t="s">
        <v>181</v>
      </c>
      <c r="D220" s="133" t="s">
        <v>40</v>
      </c>
      <c r="E220" s="134" t="s">
        <v>2154</v>
      </c>
      <c r="F220" s="133" t="s">
        <v>193</v>
      </c>
      <c r="G220" s="135" t="str">
        <f>VLOOKUP(A220,Plano_V3!$A$26:$G$753,7,0)</f>
        <v>4. Validação EF</v>
      </c>
      <c r="H220" s="135"/>
      <c r="I220" s="153"/>
      <c r="J220" s="152" t="str">
        <f>IF(VLOOKUP(A220,'Aux - pivots1'!$A:$E,3,0)=0, "",VLOOKUP(A220,'Aux - pivots1'!$A:$E,3,0))</f>
        <v/>
      </c>
      <c r="K220" s="152" t="str">
        <f>IF(VLOOKUP(A220,'Aux - pivots1'!$A:$E,4,0)=0, "",VLOOKUP(A220,'Aux - pivots1'!$A:$E,4,0))</f>
        <v/>
      </c>
      <c r="L220" s="152" t="str">
        <f>IF(VLOOKUP(A220,'Aux - pivots1'!$A:$E,5,0)=0, "",VLOOKUP(A220,'Aux - pivots1'!$A:$E,5,0))</f>
        <v/>
      </c>
      <c r="M220" s="205"/>
      <c r="N220" s="205"/>
      <c r="O220" s="337" t="s">
        <v>29</v>
      </c>
      <c r="Q220" s="268" t="s">
        <v>2375</v>
      </c>
    </row>
    <row r="221" spans="1:17" ht="16.2" customHeight="1">
      <c r="A221" s="29" t="str">
        <f t="shared" si="3"/>
        <v>modesg_param_sfics_taxon_europeiadata_inicial</v>
      </c>
      <c r="B221" s="141" t="s">
        <v>26</v>
      </c>
      <c r="C221" s="137" t="s">
        <v>181</v>
      </c>
      <c r="D221" s="133" t="s">
        <v>40</v>
      </c>
      <c r="E221" s="134" t="s">
        <v>2154</v>
      </c>
      <c r="F221" s="133" t="s">
        <v>195</v>
      </c>
      <c r="G221" s="135" t="str">
        <f>VLOOKUP(A221,Plano_V3!$A$26:$G$753,7,0)</f>
        <v>4. Validação EF</v>
      </c>
      <c r="H221" s="135"/>
      <c r="I221" s="153"/>
      <c r="J221" s="152" t="str">
        <f>IF(VLOOKUP(A221,'Aux - pivots1'!$A:$E,3,0)=0, "",VLOOKUP(A221,'Aux - pivots1'!$A:$E,3,0))</f>
        <v/>
      </c>
      <c r="K221" s="152" t="str">
        <f>IF(VLOOKUP(A221,'Aux - pivots1'!$A:$E,4,0)=0, "",VLOOKUP(A221,'Aux - pivots1'!$A:$E,4,0))</f>
        <v/>
      </c>
      <c r="L221" s="152" t="str">
        <f>IF(VLOOKUP(A221,'Aux - pivots1'!$A:$E,5,0)=0, "",VLOOKUP(A221,'Aux - pivots1'!$A:$E,5,0))</f>
        <v/>
      </c>
      <c r="M221" s="205"/>
      <c r="N221" s="205"/>
      <c r="O221" s="337" t="s">
        <v>29</v>
      </c>
      <c r="Q221" s="268" t="s">
        <v>2375</v>
      </c>
    </row>
    <row r="222" spans="1:17" ht="16.2" customHeight="1">
      <c r="A222" s="29" t="str">
        <f t="shared" si="3"/>
        <v>modesg_param_sfics_taxon_europeiadata_final</v>
      </c>
      <c r="B222" s="141" t="s">
        <v>26</v>
      </c>
      <c r="C222" s="137" t="s">
        <v>181</v>
      </c>
      <c r="D222" s="133" t="s">
        <v>40</v>
      </c>
      <c r="E222" s="134" t="s">
        <v>2154</v>
      </c>
      <c r="F222" s="133" t="s">
        <v>194</v>
      </c>
      <c r="G222" s="135" t="str">
        <f>VLOOKUP(A222,Plano_V3!$A$26:$G$753,7,0)</f>
        <v>4. Validação EF</v>
      </c>
      <c r="H222" s="135"/>
      <c r="I222" s="153"/>
      <c r="J222" s="152" t="str">
        <f>IF(VLOOKUP(A222,'Aux - pivots1'!$A:$E,3,0)=0, "",VLOOKUP(A222,'Aux - pivots1'!$A:$E,3,0))</f>
        <v/>
      </c>
      <c r="K222" s="152" t="str">
        <f>IF(VLOOKUP(A222,'Aux - pivots1'!$A:$E,4,0)=0, "",VLOOKUP(A222,'Aux - pivots1'!$A:$E,4,0))</f>
        <v/>
      </c>
      <c r="L222" s="152" t="str">
        <f>IF(VLOOKUP(A222,'Aux - pivots1'!$A:$E,5,0)=0, "",VLOOKUP(A222,'Aux - pivots1'!$A:$E,5,0))</f>
        <v/>
      </c>
      <c r="M222" s="205"/>
      <c r="N222" s="205"/>
      <c r="O222" s="337" t="s">
        <v>29</v>
      </c>
      <c r="Q222" s="268" t="s">
        <v>2375</v>
      </c>
    </row>
    <row r="223" spans="1:17" ht="16.2" customHeight="1">
      <c r="A223" s="29" t="str">
        <f t="shared" si="3"/>
        <v>modesg_param_sfics_taxon_europeiazcliente</v>
      </c>
      <c r="B223" s="141" t="s">
        <v>26</v>
      </c>
      <c r="C223" s="137" t="s">
        <v>181</v>
      </c>
      <c r="D223" s="133" t="s">
        <v>40</v>
      </c>
      <c r="E223" s="134" t="s">
        <v>2154</v>
      </c>
      <c r="F223" s="133" t="s">
        <v>209</v>
      </c>
      <c r="G223" s="135" t="str">
        <f>VLOOKUP(A223,Plano_V3!$A$26:$G$753,7,0)</f>
        <v>4. Validação EF</v>
      </c>
      <c r="H223" s="135"/>
      <c r="I223" s="153"/>
      <c r="J223" s="152" t="str">
        <f>IF(VLOOKUP(A223,'Aux - pivots1'!$A:$E,3,0)=0, "",VLOOKUP(A223,'Aux - pivots1'!$A:$E,3,0))</f>
        <v/>
      </c>
      <c r="K223" s="152" t="str">
        <f>IF(VLOOKUP(A223,'Aux - pivots1'!$A:$E,4,0)=0, "",VLOOKUP(A223,'Aux - pivots1'!$A:$E,4,0))</f>
        <v/>
      </c>
      <c r="L223" s="152" t="str">
        <f>IF(VLOOKUP(A223,'Aux - pivots1'!$A:$E,5,0)=0, "",VLOOKUP(A223,'Aux - pivots1'!$A:$E,5,0))</f>
        <v/>
      </c>
      <c r="M223" s="205"/>
      <c r="N223" s="205"/>
      <c r="O223" s="337" t="s">
        <v>29</v>
      </c>
      <c r="Q223" s="268" t="s">
        <v>2375</v>
      </c>
    </row>
    <row r="224" spans="1:17" ht="16.2" customHeight="1">
      <c r="A224" s="29" t="str">
        <f t="shared" si="3"/>
        <v>modesg_param_sfics_taxon_europeiacontraparte</v>
      </c>
      <c r="B224" s="141" t="s">
        <v>26</v>
      </c>
      <c r="C224" s="137" t="s">
        <v>181</v>
      </c>
      <c r="D224" s="133" t="s">
        <v>40</v>
      </c>
      <c r="E224" s="134" t="s">
        <v>2154</v>
      </c>
      <c r="F224" s="133" t="s">
        <v>394</v>
      </c>
      <c r="G224" s="135" t="str">
        <f>VLOOKUP(A224,Plano_V3!$A$26:$G$753,7,0)</f>
        <v>4. Validação EF</v>
      </c>
      <c r="H224" s="135"/>
      <c r="I224" s="153"/>
      <c r="J224" s="152" t="str">
        <f>IF(VLOOKUP(A224,'Aux - pivots1'!$A:$E,3,0)=0, "",VLOOKUP(A224,'Aux - pivots1'!$A:$E,3,0))</f>
        <v/>
      </c>
      <c r="K224" s="152" t="str">
        <f>IF(VLOOKUP(A224,'Aux - pivots1'!$A:$E,4,0)=0, "",VLOOKUP(A224,'Aux - pivots1'!$A:$E,4,0))</f>
        <v/>
      </c>
      <c r="L224" s="152" t="str">
        <f>IF(VLOOKUP(A224,'Aux - pivots1'!$A:$E,5,0)=0, "",VLOOKUP(A224,'Aux - pivots1'!$A:$E,5,0))</f>
        <v/>
      </c>
      <c r="M224" s="205"/>
      <c r="N224" s="205"/>
      <c r="O224" s="337" t="s">
        <v>29</v>
      </c>
      <c r="Q224" s="268" t="s">
        <v>2375</v>
      </c>
    </row>
    <row r="225" spans="1:17" ht="16.2" customHeight="1">
      <c r="A225" s="29" t="str">
        <f t="shared" si="3"/>
        <v>modesg_param_sfics_taxon_europeiacempresa</v>
      </c>
      <c r="B225" s="141" t="s">
        <v>26</v>
      </c>
      <c r="C225" s="137" t="s">
        <v>181</v>
      </c>
      <c r="D225" s="133" t="s">
        <v>40</v>
      </c>
      <c r="E225" s="134" t="s">
        <v>2154</v>
      </c>
      <c r="F225" s="133" t="s">
        <v>184</v>
      </c>
      <c r="G225" s="135" t="str">
        <f>VLOOKUP(A225,Plano_V3!$A$26:$G$753,7,0)</f>
        <v>4. Validação EF</v>
      </c>
      <c r="H225" s="135"/>
      <c r="I225" s="153"/>
      <c r="J225" s="152" t="str">
        <f>IF(VLOOKUP(A225,'Aux - pivots1'!$A:$E,3,0)=0, "",VLOOKUP(A225,'Aux - pivots1'!$A:$E,3,0))</f>
        <v/>
      </c>
      <c r="K225" s="152" t="str">
        <f>IF(VLOOKUP(A225,'Aux - pivots1'!$A:$E,4,0)=0, "",VLOOKUP(A225,'Aux - pivots1'!$A:$E,4,0))</f>
        <v/>
      </c>
      <c r="L225" s="152" t="str">
        <f>IF(VLOOKUP(A225,'Aux - pivots1'!$A:$E,5,0)=0, "",VLOOKUP(A225,'Aux - pivots1'!$A:$E,5,0))</f>
        <v/>
      </c>
      <c r="M225" s="205"/>
      <c r="N225" s="205"/>
      <c r="O225" s="337" t="s">
        <v>29</v>
      </c>
      <c r="Q225" s="268" t="s">
        <v>2375</v>
      </c>
    </row>
    <row r="226" spans="1:17" ht="16.2" customHeight="1">
      <c r="A226" s="29" t="str">
        <f t="shared" si="3"/>
        <v>modesg_param_sfics_taxon_europeiacbalcao</v>
      </c>
      <c r="B226" s="141" t="s">
        <v>26</v>
      </c>
      <c r="C226" s="137" t="s">
        <v>181</v>
      </c>
      <c r="D226" s="133" t="s">
        <v>40</v>
      </c>
      <c r="E226" s="134" t="s">
        <v>2154</v>
      </c>
      <c r="F226" s="133" t="s">
        <v>183</v>
      </c>
      <c r="G226" s="135" t="str">
        <f>VLOOKUP(A226,Plano_V3!$A$26:$G$753,7,0)</f>
        <v>4. Validação EF</v>
      </c>
      <c r="H226" s="135"/>
      <c r="I226" s="153"/>
      <c r="J226" s="152" t="str">
        <f>IF(VLOOKUP(A226,'Aux - pivots1'!$A:$E,3,0)=0, "",VLOOKUP(A226,'Aux - pivots1'!$A:$E,3,0))</f>
        <v/>
      </c>
      <c r="K226" s="152" t="str">
        <f>IF(VLOOKUP(A226,'Aux - pivots1'!$A:$E,4,0)=0, "",VLOOKUP(A226,'Aux - pivots1'!$A:$E,4,0))</f>
        <v/>
      </c>
      <c r="L226" s="152" t="str">
        <f>IF(VLOOKUP(A226,'Aux - pivots1'!$A:$E,5,0)=0, "",VLOOKUP(A226,'Aux - pivots1'!$A:$E,5,0))</f>
        <v/>
      </c>
      <c r="M226" s="205"/>
      <c r="N226" s="205"/>
      <c r="O226" s="337" t="s">
        <v>29</v>
      </c>
      <c r="Q226" s="268" t="s">
        <v>2375</v>
      </c>
    </row>
    <row r="227" spans="1:17" ht="16.2" customHeight="1">
      <c r="A227" s="29" t="str">
        <f t="shared" si="3"/>
        <v>modesg_param_sfics_taxon_europeiacnumecta</v>
      </c>
      <c r="B227" s="141" t="s">
        <v>26</v>
      </c>
      <c r="C227" s="137" t="s">
        <v>181</v>
      </c>
      <c r="D227" s="133" t="s">
        <v>40</v>
      </c>
      <c r="E227" s="134" t="s">
        <v>2154</v>
      </c>
      <c r="F227" s="133" t="s">
        <v>189</v>
      </c>
      <c r="G227" s="135" t="str">
        <f>VLOOKUP(A227,Plano_V3!$A$26:$G$753,7,0)</f>
        <v>4. Validação EF</v>
      </c>
      <c r="H227" s="135"/>
      <c r="I227" s="153"/>
      <c r="J227" s="152" t="str">
        <f>IF(VLOOKUP(A227,'Aux - pivots1'!$A:$E,3,0)=0, "",VLOOKUP(A227,'Aux - pivots1'!$A:$E,3,0))</f>
        <v/>
      </c>
      <c r="K227" s="152" t="str">
        <f>IF(VLOOKUP(A227,'Aux - pivots1'!$A:$E,4,0)=0, "",VLOOKUP(A227,'Aux - pivots1'!$A:$E,4,0))</f>
        <v/>
      </c>
      <c r="L227" s="152" t="str">
        <f>IF(VLOOKUP(A227,'Aux - pivots1'!$A:$E,5,0)=0, "",VLOOKUP(A227,'Aux - pivots1'!$A:$E,5,0))</f>
        <v/>
      </c>
      <c r="M227" s="205"/>
      <c r="N227" s="205"/>
      <c r="O227" s="337" t="s">
        <v>29</v>
      </c>
      <c r="Q227" s="268" t="s">
        <v>2375</v>
      </c>
    </row>
    <row r="228" spans="1:17" ht="16.2" customHeight="1">
      <c r="A228" s="29" t="str">
        <f t="shared" si="3"/>
        <v>modesg_param_sfics_taxon_europeiazdeposit</v>
      </c>
      <c r="B228" s="141" t="s">
        <v>26</v>
      </c>
      <c r="C228" s="137" t="s">
        <v>181</v>
      </c>
      <c r="D228" s="133" t="s">
        <v>40</v>
      </c>
      <c r="E228" s="134" t="s">
        <v>2154</v>
      </c>
      <c r="F228" s="133" t="s">
        <v>210</v>
      </c>
      <c r="G228" s="135" t="str">
        <f>VLOOKUP(A228,Plano_V3!$A$26:$G$753,7,0)</f>
        <v>4. Validação EF</v>
      </c>
      <c r="H228" s="135"/>
      <c r="I228" s="153"/>
      <c r="J228" s="152" t="str">
        <f>IF(VLOOKUP(A228,'Aux - pivots1'!$A:$E,3,0)=0, "",VLOOKUP(A228,'Aux - pivots1'!$A:$E,3,0))</f>
        <v/>
      </c>
      <c r="K228" s="152" t="str">
        <f>IF(VLOOKUP(A228,'Aux - pivots1'!$A:$E,4,0)=0, "",VLOOKUP(A228,'Aux - pivots1'!$A:$E,4,0))</f>
        <v/>
      </c>
      <c r="L228" s="152" t="str">
        <f>IF(VLOOKUP(A228,'Aux - pivots1'!$A:$E,5,0)=0, "",VLOOKUP(A228,'Aux - pivots1'!$A:$E,5,0))</f>
        <v/>
      </c>
      <c r="M228" s="205"/>
      <c r="N228" s="205"/>
      <c r="O228" s="337" t="s">
        <v>29</v>
      </c>
      <c r="Q228" s="268" t="s">
        <v>2375</v>
      </c>
    </row>
    <row r="229" spans="1:17" ht="16.2" customHeight="1">
      <c r="A229" s="29" t="str">
        <f t="shared" si="3"/>
        <v>modesg_param_sfics_taxon_europeiackmetamis</v>
      </c>
      <c r="B229" s="141" t="s">
        <v>26</v>
      </c>
      <c r="C229" s="137" t="s">
        <v>181</v>
      </c>
      <c r="D229" s="133" t="s">
        <v>40</v>
      </c>
      <c r="E229" s="134" t="s">
        <v>2154</v>
      </c>
      <c r="F229" s="133" t="s">
        <v>185</v>
      </c>
      <c r="G229" s="135" t="str">
        <f>VLOOKUP(A229,Plano_V3!$A$26:$G$753,7,0)</f>
        <v>4. Validação EF</v>
      </c>
      <c r="H229" s="135"/>
      <c r="I229" s="153"/>
      <c r="J229" s="152" t="str">
        <f>IF(VLOOKUP(A229,'Aux - pivots1'!$A:$E,3,0)=0, "",VLOOKUP(A229,'Aux - pivots1'!$A:$E,3,0))</f>
        <v/>
      </c>
      <c r="K229" s="152" t="str">
        <f>IF(VLOOKUP(A229,'Aux - pivots1'!$A:$E,4,0)=0, "",VLOOKUP(A229,'Aux - pivots1'!$A:$E,4,0))</f>
        <v/>
      </c>
      <c r="L229" s="152" t="str">
        <f>IF(VLOOKUP(A229,'Aux - pivots1'!$A:$E,5,0)=0, "",VLOOKUP(A229,'Aux - pivots1'!$A:$E,5,0))</f>
        <v/>
      </c>
      <c r="M229" s="205"/>
      <c r="N229" s="205"/>
      <c r="O229" s="337" t="s">
        <v>29</v>
      </c>
      <c r="Q229" s="268" t="s">
        <v>2375</v>
      </c>
    </row>
    <row r="230" spans="1:17" ht="16.2" customHeight="1">
      <c r="A230" s="29" t="str">
        <f t="shared" si="3"/>
        <v>modesg_param_sfics_taxon_europeiackprodmi</v>
      </c>
      <c r="B230" s="141" t="s">
        <v>26</v>
      </c>
      <c r="C230" s="137" t="s">
        <v>181</v>
      </c>
      <c r="D230" s="133" t="s">
        <v>40</v>
      </c>
      <c r="E230" s="134" t="s">
        <v>2154</v>
      </c>
      <c r="F230" s="133" t="s">
        <v>186</v>
      </c>
      <c r="G230" s="135" t="str">
        <f>VLOOKUP(A230,Plano_V3!$A$26:$G$753,7,0)</f>
        <v>4. Validação EF</v>
      </c>
      <c r="H230" s="135"/>
      <c r="I230" s="153"/>
      <c r="J230" s="152" t="str">
        <f>IF(VLOOKUP(A230,'Aux - pivots1'!$A:$E,3,0)=0, "",VLOOKUP(A230,'Aux - pivots1'!$A:$E,3,0))</f>
        <v/>
      </c>
      <c r="K230" s="152" t="str">
        <f>IF(VLOOKUP(A230,'Aux - pivots1'!$A:$E,4,0)=0, "",VLOOKUP(A230,'Aux - pivots1'!$A:$E,4,0))</f>
        <v/>
      </c>
      <c r="L230" s="152" t="str">
        <f>IF(VLOOKUP(A230,'Aux - pivots1'!$A:$E,5,0)=0, "",VLOOKUP(A230,'Aux - pivots1'!$A:$E,5,0))</f>
        <v/>
      </c>
      <c r="M230" s="205"/>
      <c r="N230" s="205"/>
      <c r="O230" s="337" t="s">
        <v>29</v>
      </c>
      <c r="Q230" s="268" t="s">
        <v>2375</v>
      </c>
    </row>
    <row r="231" spans="1:17" ht="16.2" customHeight="1">
      <c r="A231" s="29" t="str">
        <f t="shared" si="3"/>
        <v>modesg_param_sfics_taxon_europeiaprdt_sprdt</v>
      </c>
      <c r="B231" s="141" t="s">
        <v>26</v>
      </c>
      <c r="C231" s="137" t="s">
        <v>181</v>
      </c>
      <c r="D231" s="133" t="s">
        <v>40</v>
      </c>
      <c r="E231" s="134" t="s">
        <v>2154</v>
      </c>
      <c r="F231" s="409" t="s">
        <v>2102</v>
      </c>
      <c r="G231" s="135" t="str">
        <f>VLOOKUP(A231,Plano_V3!$A$26:$G$753,7,0)</f>
        <v>4. Validação EF</v>
      </c>
      <c r="H231" s="410"/>
      <c r="I231" s="411"/>
      <c r="J231" s="152" t="str">
        <f>IF(VLOOKUP(A231,'Aux - pivots1'!$A:$E,3,0)=0, "",VLOOKUP(A231,'Aux - pivots1'!$A:$E,3,0))</f>
        <v/>
      </c>
      <c r="K231" s="152" t="str">
        <f>IF(VLOOKUP(A231,'Aux - pivots1'!$A:$E,4,0)=0, "",VLOOKUP(A231,'Aux - pivots1'!$A:$E,4,0))</f>
        <v/>
      </c>
      <c r="L231" s="152" t="str">
        <f>IF(VLOOKUP(A231,'Aux - pivots1'!$A:$E,5,0)=0, "",VLOOKUP(A231,'Aux - pivots1'!$A:$E,5,0))</f>
        <v/>
      </c>
      <c r="M231" s="205"/>
      <c r="N231" s="205"/>
      <c r="O231" s="337" t="s">
        <v>29</v>
      </c>
      <c r="Q231" s="268" t="s">
        <v>2375</v>
      </c>
    </row>
    <row r="232" spans="1:17" ht="16.2" customHeight="1">
      <c r="A232" s="29" t="str">
        <f t="shared" si="3"/>
        <v>modesg_param_sfics_taxon_europeiacmetanseg</v>
      </c>
      <c r="B232" s="141" t="s">
        <v>26</v>
      </c>
      <c r="C232" s="137" t="s">
        <v>181</v>
      </c>
      <c r="D232" s="133" t="s">
        <v>40</v>
      </c>
      <c r="E232" s="134" t="s">
        <v>2154</v>
      </c>
      <c r="F232" s="133" t="s">
        <v>187</v>
      </c>
      <c r="G232" s="135" t="str">
        <f>VLOOKUP(A232,Plano_V3!$A$26:$G$753,7,0)</f>
        <v>4. Validação EF</v>
      </c>
      <c r="H232" s="135" t="s">
        <v>612</v>
      </c>
      <c r="I232" s="153"/>
      <c r="J232" s="152" t="str">
        <f>IF(VLOOKUP(A232,'Aux - pivots1'!$A:$E,3,0)=0, "",VLOOKUP(A232,'Aux - pivots1'!$A:$E,3,0))</f>
        <v/>
      </c>
      <c r="K232" s="152" t="str">
        <f>IF(VLOOKUP(A232,'Aux - pivots1'!$A:$E,4,0)=0, "",VLOOKUP(A232,'Aux - pivots1'!$A:$E,4,0))</f>
        <v/>
      </c>
      <c r="L232" s="152" t="str">
        <f>IF(VLOOKUP(A232,'Aux - pivots1'!$A:$E,5,0)=0, "",VLOOKUP(A232,'Aux - pivots1'!$A:$E,5,0))</f>
        <v/>
      </c>
      <c r="M232" s="205"/>
      <c r="N232" s="205"/>
      <c r="O232" s="337" t="s">
        <v>29</v>
      </c>
      <c r="Q232" s="268" t="s">
        <v>2375</v>
      </c>
    </row>
    <row r="233" spans="1:17" ht="16.2" customHeight="1">
      <c r="A233" s="29" t="str">
        <f t="shared" si="3"/>
        <v>modesg_param_sfics_taxon_europeiaepc</v>
      </c>
      <c r="B233" s="141" t="s">
        <v>26</v>
      </c>
      <c r="C233" s="137" t="s">
        <v>181</v>
      </c>
      <c r="D233" s="133" t="s">
        <v>40</v>
      </c>
      <c r="E233" s="134" t="s">
        <v>2154</v>
      </c>
      <c r="F233" s="133" t="s">
        <v>198</v>
      </c>
      <c r="G233" s="135" t="str">
        <f>VLOOKUP(A233,Plano_V3!$A$26:$G$753,7,0)</f>
        <v>4. Validação EF</v>
      </c>
      <c r="H233" s="135" t="s">
        <v>612</v>
      </c>
      <c r="I233" s="153"/>
      <c r="J233" s="152" t="str">
        <f>IF(VLOOKUP(A233,'Aux - pivots1'!$A:$E,3,0)=0, "",VLOOKUP(A233,'Aux - pivots1'!$A:$E,3,0))</f>
        <v/>
      </c>
      <c r="K233" s="152" t="str">
        <f>IF(VLOOKUP(A233,'Aux - pivots1'!$A:$E,4,0)=0, "",VLOOKUP(A233,'Aux - pivots1'!$A:$E,4,0))</f>
        <v/>
      </c>
      <c r="L233" s="152" t="str">
        <f>IF(VLOOKUP(A233,'Aux - pivots1'!$A:$E,5,0)=0, "",VLOOKUP(A233,'Aux - pivots1'!$A:$E,5,0))</f>
        <v/>
      </c>
      <c r="M233" s="205"/>
      <c r="N233" s="205"/>
      <c r="O233" s="337" t="s">
        <v>29</v>
      </c>
      <c r="Q233" s="268" t="s">
        <v>2375</v>
      </c>
    </row>
    <row r="234" spans="1:17" ht="16.2" customHeight="1">
      <c r="A234" s="29" t="str">
        <f t="shared" si="3"/>
        <v>modesg_param_sfics_taxon_europeiaquality_score</v>
      </c>
      <c r="B234" s="141" t="s">
        <v>26</v>
      </c>
      <c r="C234" s="137" t="s">
        <v>181</v>
      </c>
      <c r="D234" s="133" t="s">
        <v>40</v>
      </c>
      <c r="E234" s="134" t="s">
        <v>2154</v>
      </c>
      <c r="F234" s="133" t="s">
        <v>2111</v>
      </c>
      <c r="G234" s="135" t="str">
        <f>VLOOKUP(A234,Plano_V3!$A$26:$G$753,7,0)</f>
        <v>4. Validação EF</v>
      </c>
      <c r="H234" s="135" t="s">
        <v>612</v>
      </c>
      <c r="I234" s="153"/>
      <c r="J234" s="152" t="str">
        <f>IF(VLOOKUP(A234,'Aux - pivots1'!$A:$E,3,0)=0, "",VLOOKUP(A234,'Aux - pivots1'!$A:$E,3,0))</f>
        <v/>
      </c>
      <c r="K234" s="152" t="str">
        <f>IF(VLOOKUP(A234,'Aux - pivots1'!$A:$E,4,0)=0, "",VLOOKUP(A234,'Aux - pivots1'!$A:$E,4,0))</f>
        <v/>
      </c>
      <c r="L234" s="152" t="str">
        <f>IF(VLOOKUP(A234,'Aux - pivots1'!$A:$E,5,0)=0, "",VLOOKUP(A234,'Aux - pivots1'!$A:$E,5,0))</f>
        <v/>
      </c>
      <c r="M234" s="205"/>
      <c r="N234" s="205"/>
      <c r="O234" s="337" t="s">
        <v>29</v>
      </c>
      <c r="Q234" s="268" t="s">
        <v>2375</v>
      </c>
    </row>
    <row r="235" spans="1:17" ht="16.2" customHeight="1">
      <c r="A235" s="29" t="str">
        <f t="shared" si="3"/>
        <v>modesg_param_sfics_taxon_europeianzeb</v>
      </c>
      <c r="B235" s="141" t="s">
        <v>26</v>
      </c>
      <c r="C235" s="137" t="s">
        <v>181</v>
      </c>
      <c r="D235" s="133" t="s">
        <v>40</v>
      </c>
      <c r="E235" s="134" t="s">
        <v>2154</v>
      </c>
      <c r="F235" s="133" t="s">
        <v>2112</v>
      </c>
      <c r="G235" s="135" t="str">
        <f>VLOOKUP(A235,Plano_V3!$A$26:$G$753,7,0)</f>
        <v>4. Validação EF</v>
      </c>
      <c r="H235" s="135" t="s">
        <v>612</v>
      </c>
      <c r="I235" s="153"/>
      <c r="J235" s="152" t="str">
        <f>IF(VLOOKUP(A235,'Aux - pivots1'!$A:$E,3,0)=0, "",VLOOKUP(A235,'Aux - pivots1'!$A:$E,3,0))</f>
        <v/>
      </c>
      <c r="K235" s="152" t="str">
        <f>IF(VLOOKUP(A235,'Aux - pivots1'!$A:$E,4,0)=0, "",VLOOKUP(A235,'Aux - pivots1'!$A:$E,4,0))</f>
        <v/>
      </c>
      <c r="L235" s="152" t="str">
        <f>IF(VLOOKUP(A235,'Aux - pivots1'!$A:$E,5,0)=0, "",VLOOKUP(A235,'Aux - pivots1'!$A:$E,5,0))</f>
        <v/>
      </c>
      <c r="M235" s="205"/>
      <c r="N235" s="205"/>
      <c r="O235" s="337" t="s">
        <v>29</v>
      </c>
      <c r="Q235" s="268" t="s">
        <v>2375</v>
      </c>
    </row>
    <row r="236" spans="1:17" ht="16.2" customHeight="1">
      <c r="A236" s="29" t="str">
        <f t="shared" si="3"/>
        <v>modesg_param_sfics_taxon_europeiaRIEE</v>
      </c>
      <c r="B236" s="141" t="s">
        <v>26</v>
      </c>
      <c r="C236" s="137" t="s">
        <v>181</v>
      </c>
      <c r="D236" s="133" t="s">
        <v>40</v>
      </c>
      <c r="E236" s="134" t="s">
        <v>2154</v>
      </c>
      <c r="F236" s="133" t="s">
        <v>2113</v>
      </c>
      <c r="G236" s="135" t="str">
        <f>VLOOKUP(A236,Plano_V3!$A$26:$G$753,7,0)</f>
        <v>4. Validação EF</v>
      </c>
      <c r="H236" s="135" t="s">
        <v>612</v>
      </c>
      <c r="I236" s="142"/>
      <c r="J236" s="152" t="str">
        <f>IF(VLOOKUP(A236,'Aux - pivots1'!$A:$E,3,0)=0, "",VLOOKUP(A236,'Aux - pivots1'!$A:$E,3,0))</f>
        <v/>
      </c>
      <c r="K236" s="152" t="str">
        <f>IF(VLOOKUP(A236,'Aux - pivots1'!$A:$E,4,0)=0, "",VLOOKUP(A236,'Aux - pivots1'!$A:$E,4,0))</f>
        <v/>
      </c>
      <c r="L236" s="152" t="str">
        <f>IF(VLOOKUP(A236,'Aux - pivots1'!$A:$E,5,0)=0, "",VLOOKUP(A236,'Aux - pivots1'!$A:$E,5,0))</f>
        <v/>
      </c>
      <c r="M236" s="205"/>
      <c r="N236" s="205"/>
      <c r="O236" s="337" t="s">
        <v>29</v>
      </c>
      <c r="Q236" s="268" t="s">
        <v>2375</v>
      </c>
    </row>
    <row r="237" spans="1:17" ht="16.2" customHeight="1">
      <c r="A237" s="29" t="str">
        <f t="shared" si="3"/>
        <v>modesg_param_sfics_taxon_europeiaRNT</v>
      </c>
      <c r="B237" s="141" t="s">
        <v>26</v>
      </c>
      <c r="C237" s="137" t="s">
        <v>181</v>
      </c>
      <c r="D237" s="133" t="s">
        <v>40</v>
      </c>
      <c r="E237" s="134" t="s">
        <v>2154</v>
      </c>
      <c r="F237" s="133" t="s">
        <v>2114</v>
      </c>
      <c r="G237" s="135" t="str">
        <f>VLOOKUP(A237,Plano_V3!$A$26:$G$753,7,0)</f>
        <v>4. Validação EF</v>
      </c>
      <c r="H237" s="135" t="s">
        <v>612</v>
      </c>
      <c r="I237" s="142"/>
      <c r="J237" s="152" t="str">
        <f>IF(VLOOKUP(A237,'Aux - pivots1'!$A:$E,3,0)=0, "",VLOOKUP(A237,'Aux - pivots1'!$A:$E,3,0))</f>
        <v/>
      </c>
      <c r="K237" s="152" t="str">
        <f>IF(VLOOKUP(A237,'Aux - pivots1'!$A:$E,4,0)=0, "",VLOOKUP(A237,'Aux - pivots1'!$A:$E,4,0))</f>
        <v/>
      </c>
      <c r="L237" s="152" t="str">
        <f>IF(VLOOKUP(A237,'Aux - pivots1'!$A:$E,5,0)=0, "",VLOOKUP(A237,'Aux - pivots1'!$A:$E,5,0))</f>
        <v/>
      </c>
      <c r="M237" s="205"/>
      <c r="N237" s="205"/>
      <c r="O237" s="337" t="s">
        <v>29</v>
      </c>
      <c r="Q237" s="268" t="s">
        <v>2375</v>
      </c>
    </row>
    <row r="238" spans="1:17" ht="16.2" customHeight="1">
      <c r="A238" s="29" t="str">
        <f t="shared" si="3"/>
        <v>modesg_param_sfics_taxon_europeiaflg_rsc_fsc_crnc</v>
      </c>
      <c r="B238" s="141" t="s">
        <v>26</v>
      </c>
      <c r="C238" s="137" t="s">
        <v>181</v>
      </c>
      <c r="D238" s="133" t="s">
        <v>40</v>
      </c>
      <c r="E238" s="134" t="s">
        <v>2154</v>
      </c>
      <c r="F238" s="133" t="s">
        <v>283</v>
      </c>
      <c r="G238" s="135" t="str">
        <f>VLOOKUP(A238,Plano_V3!$A$26:$G$753,7,0)</f>
        <v>4. Validação EF</v>
      </c>
      <c r="H238" s="135" t="s">
        <v>612</v>
      </c>
      <c r="I238" s="142"/>
      <c r="J238" s="152" t="str">
        <f>IF(VLOOKUP(A238,'Aux - pivots1'!$A:$E,3,0)=0, "",VLOOKUP(A238,'Aux - pivots1'!$A:$E,3,0))</f>
        <v/>
      </c>
      <c r="K238" s="152" t="str">
        <f>IF(VLOOKUP(A238,'Aux - pivots1'!$A:$E,4,0)=0, "",VLOOKUP(A238,'Aux - pivots1'!$A:$E,4,0))</f>
        <v/>
      </c>
      <c r="L238" s="152" t="str">
        <f>IF(VLOOKUP(A238,'Aux - pivots1'!$A:$E,5,0)=0, "",VLOOKUP(A238,'Aux - pivots1'!$A:$E,5,0))</f>
        <v/>
      </c>
      <c r="M238" s="205"/>
      <c r="N238" s="205"/>
      <c r="O238" s="337" t="s">
        <v>29</v>
      </c>
      <c r="Q238" s="268" t="s">
        <v>2375</v>
      </c>
    </row>
    <row r="239" spans="1:17" ht="16.2" customHeight="1">
      <c r="A239" s="29" t="str">
        <f t="shared" si="3"/>
        <v>modesg_param_sfics_taxon_europeiaflg_rsc_fsc_agd</v>
      </c>
      <c r="B239" s="141" t="s">
        <v>26</v>
      </c>
      <c r="C239" s="137" t="s">
        <v>181</v>
      </c>
      <c r="D239" s="133" t="s">
        <v>40</v>
      </c>
      <c r="E239" s="134" t="s">
        <v>2154</v>
      </c>
      <c r="F239" s="133" t="s">
        <v>282</v>
      </c>
      <c r="G239" s="135" t="str">
        <f>VLOOKUP(A239,Plano_V3!$A$26:$G$753,7,0)</f>
        <v>4. Validação EF</v>
      </c>
      <c r="H239" s="135" t="s">
        <v>612</v>
      </c>
      <c r="I239" s="142"/>
      <c r="J239" s="152" t="str">
        <f>IF(VLOOKUP(A239,'Aux - pivots1'!$A:$E,3,0)=0, "",VLOOKUP(A239,'Aux - pivots1'!$A:$E,3,0))</f>
        <v/>
      </c>
      <c r="K239" s="152" t="str">
        <f>IF(VLOOKUP(A239,'Aux - pivots1'!$A:$E,4,0)=0, "",VLOOKUP(A239,'Aux - pivots1'!$A:$E,4,0))</f>
        <v/>
      </c>
      <c r="L239" s="152" t="str">
        <f>IF(VLOOKUP(A239,'Aux - pivots1'!$A:$E,5,0)=0, "",VLOOKUP(A239,'Aux - pivots1'!$A:$E,5,0))</f>
        <v/>
      </c>
      <c r="M239" s="205"/>
      <c r="N239" s="205"/>
      <c r="O239" s="337" t="s">
        <v>29</v>
      </c>
      <c r="Q239" s="268" t="s">
        <v>2375</v>
      </c>
    </row>
    <row r="240" spans="1:17" ht="16.2" customHeight="1">
      <c r="A240" s="29" t="str">
        <f t="shared" si="3"/>
        <v>modesg_param_sfics_taxon_europeiaconstruction_year</v>
      </c>
      <c r="B240" s="141" t="s">
        <v>26</v>
      </c>
      <c r="C240" s="137" t="s">
        <v>181</v>
      </c>
      <c r="D240" s="133" t="s">
        <v>40</v>
      </c>
      <c r="E240" s="134" t="s">
        <v>2154</v>
      </c>
      <c r="F240" s="133" t="s">
        <v>2110</v>
      </c>
      <c r="G240" s="135" t="str">
        <f>VLOOKUP(A240,Plano_V3!$A$26:$G$753,7,0)</f>
        <v>4. Validação EF</v>
      </c>
      <c r="H240" s="135" t="s">
        <v>612</v>
      </c>
      <c r="I240" s="142"/>
      <c r="J240" s="152" t="str">
        <f>IF(VLOOKUP(A240,'Aux - pivots1'!$A:$E,3,0)=0, "",VLOOKUP(A240,'Aux - pivots1'!$A:$E,3,0))</f>
        <v/>
      </c>
      <c r="K240" s="152" t="str">
        <f>IF(VLOOKUP(A240,'Aux - pivots1'!$A:$E,4,0)=0, "",VLOOKUP(A240,'Aux - pivots1'!$A:$E,4,0))</f>
        <v/>
      </c>
      <c r="L240" s="152" t="str">
        <f>IF(VLOOKUP(A240,'Aux - pivots1'!$A:$E,5,0)=0, "",VLOOKUP(A240,'Aux - pivots1'!$A:$E,5,0))</f>
        <v/>
      </c>
      <c r="M240" s="205"/>
      <c r="N240" s="205"/>
      <c r="O240" s="337" t="s">
        <v>29</v>
      </c>
      <c r="Q240" s="268" t="s">
        <v>2375</v>
      </c>
    </row>
    <row r="241" spans="1:17" ht="16.2" customHeight="1">
      <c r="A241" s="29" t="str">
        <f t="shared" si="3"/>
        <v>modesg_param_sfics_taxon_europeiaproperty_purpose_code</v>
      </c>
      <c r="B241" s="141" t="s">
        <v>26</v>
      </c>
      <c r="C241" s="137" t="s">
        <v>181</v>
      </c>
      <c r="D241" s="133" t="s">
        <v>40</v>
      </c>
      <c r="E241" s="134" t="s">
        <v>2154</v>
      </c>
      <c r="F241" s="133" t="s">
        <v>2107</v>
      </c>
      <c r="G241" s="135" t="str">
        <f>VLOOKUP(A241,Plano_V3!$A$26:$G$753,7,0)</f>
        <v>4. Validação EF</v>
      </c>
      <c r="H241" s="135" t="s">
        <v>612</v>
      </c>
      <c r="I241" s="153"/>
      <c r="J241" s="152" t="str">
        <f>IF(VLOOKUP(A241,'Aux - pivots1'!$A:$E,3,0)=0, "",VLOOKUP(A241,'Aux - pivots1'!$A:$E,3,0))</f>
        <v/>
      </c>
      <c r="K241" s="152" t="str">
        <f>IF(VLOOKUP(A241,'Aux - pivots1'!$A:$E,4,0)=0, "",VLOOKUP(A241,'Aux - pivots1'!$A:$E,4,0))</f>
        <v/>
      </c>
      <c r="L241" s="152" t="str">
        <f>IF(VLOOKUP(A241,'Aux - pivots1'!$A:$E,5,0)=0, "",VLOOKUP(A241,'Aux - pivots1'!$A:$E,5,0))</f>
        <v/>
      </c>
      <c r="M241" s="205"/>
      <c r="N241" s="205"/>
      <c r="O241" s="337" t="s">
        <v>29</v>
      </c>
      <c r="Q241" s="268" t="s">
        <v>2375</v>
      </c>
    </row>
    <row r="242" spans="1:17" ht="16.2" customHeight="1">
      <c r="A242" s="29" t="str">
        <f t="shared" si="3"/>
        <v>modesg_param_sfics_taxon_europeiacfamilia</v>
      </c>
      <c r="B242" s="141" t="s">
        <v>26</v>
      </c>
      <c r="C242" s="137" t="s">
        <v>181</v>
      </c>
      <c r="D242" s="133" t="s">
        <v>40</v>
      </c>
      <c r="E242" s="134" t="s">
        <v>2154</v>
      </c>
      <c r="F242" s="133" t="s">
        <v>2106</v>
      </c>
      <c r="G242" s="135" t="str">
        <f>VLOOKUP(A242,Plano_V3!$A$26:$G$753,7,0)</f>
        <v>4. Validação EF</v>
      </c>
      <c r="H242" s="135" t="s">
        <v>612</v>
      </c>
      <c r="I242" s="153"/>
      <c r="J242" s="152" t="str">
        <f>IF(VLOOKUP(A242,'Aux - pivots1'!$A:$E,3,0)=0, "",VLOOKUP(A242,'Aux - pivots1'!$A:$E,3,0))</f>
        <v/>
      </c>
      <c r="K242" s="152" t="str">
        <f>IF(VLOOKUP(A242,'Aux - pivots1'!$A:$E,4,0)=0, "",VLOOKUP(A242,'Aux - pivots1'!$A:$E,4,0))</f>
        <v/>
      </c>
      <c r="L242" s="152" t="str">
        <f>IF(VLOOKUP(A242,'Aux - pivots1'!$A:$E,5,0)=0, "",VLOOKUP(A242,'Aux - pivots1'!$A:$E,5,0))</f>
        <v/>
      </c>
      <c r="M242" s="205"/>
      <c r="N242" s="205"/>
      <c r="O242" s="337" t="s">
        <v>29</v>
      </c>
      <c r="Q242" s="268" t="s">
        <v>2375</v>
      </c>
    </row>
    <row r="243" spans="1:17" ht="16.2" customHeight="1">
      <c r="A243" s="29" t="str">
        <f t="shared" si="3"/>
        <v>modesg_param_sfics_taxon_europeiacfinalidad</v>
      </c>
      <c r="B243" s="141" t="s">
        <v>26</v>
      </c>
      <c r="C243" s="137" t="s">
        <v>181</v>
      </c>
      <c r="D243" s="133" t="s">
        <v>40</v>
      </c>
      <c r="E243" s="134" t="s">
        <v>2154</v>
      </c>
      <c r="F243" s="133" t="s">
        <v>200</v>
      </c>
      <c r="G243" s="135" t="str">
        <f>VLOOKUP(A243,Plano_V3!$A$26:$G$753,7,0)</f>
        <v>4. Validação EF</v>
      </c>
      <c r="H243" s="135" t="s">
        <v>612</v>
      </c>
      <c r="I243" s="153"/>
      <c r="J243" s="152" t="str">
        <f>IF(VLOOKUP(A243,'Aux - pivots1'!$A:$E,3,0)=0, "",VLOOKUP(A243,'Aux - pivots1'!$A:$E,3,0))</f>
        <v/>
      </c>
      <c r="K243" s="152" t="str">
        <f>IF(VLOOKUP(A243,'Aux - pivots1'!$A:$E,4,0)=0, "",VLOOKUP(A243,'Aux - pivots1'!$A:$E,4,0))</f>
        <v/>
      </c>
      <c r="L243" s="152" t="str">
        <f>IF(VLOOKUP(A243,'Aux - pivots1'!$A:$E,5,0)=0, "",VLOOKUP(A243,'Aux - pivots1'!$A:$E,5,0))</f>
        <v/>
      </c>
      <c r="M243" s="205"/>
      <c r="N243" s="205"/>
      <c r="O243" s="337" t="s">
        <v>29</v>
      </c>
      <c r="Q243" s="268" t="s">
        <v>2375</v>
      </c>
    </row>
    <row r="244" spans="1:17" ht="16.2" customHeight="1">
      <c r="A244" s="29" t="str">
        <f t="shared" si="3"/>
        <v>modesg_param_sfics_taxon_europeiaflag_project_finance</v>
      </c>
      <c r="B244" s="141" t="s">
        <v>26</v>
      </c>
      <c r="C244" s="137" t="s">
        <v>181</v>
      </c>
      <c r="D244" s="133" t="s">
        <v>40</v>
      </c>
      <c r="E244" s="134" t="s">
        <v>2154</v>
      </c>
      <c r="F244" s="133" t="s">
        <v>199</v>
      </c>
      <c r="G244" s="135" t="str">
        <f>VLOOKUP(A244,Plano_V3!$A$26:$G$753,7,0)</f>
        <v>4. Validação EF</v>
      </c>
      <c r="H244" s="135" t="s">
        <v>612</v>
      </c>
      <c r="I244" s="143" t="s">
        <v>648</v>
      </c>
      <c r="J244" s="152" t="str">
        <f>IF(VLOOKUP(A244,'Aux - pivots1'!$A:$E,3,0)=0, "",VLOOKUP(A244,'Aux - pivots1'!$A:$E,3,0))</f>
        <v/>
      </c>
      <c r="K244" s="152" t="str">
        <f>IF(VLOOKUP(A244,'Aux - pivots1'!$A:$E,4,0)=0, "",VLOOKUP(A244,'Aux - pivots1'!$A:$E,4,0))</f>
        <v/>
      </c>
      <c r="L244" s="152" t="str">
        <f>IF(VLOOKUP(A244,'Aux - pivots1'!$A:$E,5,0)=0, "",VLOOKUP(A244,'Aux - pivots1'!$A:$E,5,0))</f>
        <v/>
      </c>
      <c r="M244" s="205"/>
      <c r="N244" s="205"/>
      <c r="O244" s="337" t="s">
        <v>29</v>
      </c>
      <c r="Q244" s="268" t="s">
        <v>2375</v>
      </c>
    </row>
    <row r="245" spans="1:17" ht="16.2" customHeight="1">
      <c r="A245" s="29" t="str">
        <f t="shared" si="3"/>
        <v>modesg_param_sfics_taxon_europeiatipo_eqp</v>
      </c>
      <c r="B245" s="141" t="s">
        <v>26</v>
      </c>
      <c r="C245" s="137" t="s">
        <v>181</v>
      </c>
      <c r="D245" s="133" t="s">
        <v>40</v>
      </c>
      <c r="E245" s="134" t="s">
        <v>2154</v>
      </c>
      <c r="F245" s="133" t="s">
        <v>2109</v>
      </c>
      <c r="G245" s="135" t="str">
        <f>VLOOKUP(A245,Plano_V3!$A$26:$G$753,7,0)</f>
        <v>4. Validação EF</v>
      </c>
      <c r="H245" s="135" t="s">
        <v>612</v>
      </c>
      <c r="I245" s="143" t="s">
        <v>648</v>
      </c>
      <c r="J245" s="152" t="str">
        <f>IF(VLOOKUP(A245,'Aux - pivots1'!$A:$E,3,0)=0, "",VLOOKUP(A245,'Aux - pivots1'!$A:$E,3,0))</f>
        <v/>
      </c>
      <c r="K245" s="152" t="str">
        <f>IF(VLOOKUP(A245,'Aux - pivots1'!$A:$E,4,0)=0, "",VLOOKUP(A245,'Aux - pivots1'!$A:$E,4,0))</f>
        <v/>
      </c>
      <c r="L245" s="152" t="str">
        <f>IF(VLOOKUP(A245,'Aux - pivots1'!$A:$E,5,0)=0, "",VLOOKUP(A245,'Aux - pivots1'!$A:$E,5,0))</f>
        <v/>
      </c>
      <c r="M245" s="205"/>
      <c r="N245" s="205"/>
      <c r="O245" s="337" t="s">
        <v>29</v>
      </c>
      <c r="Q245" s="268" t="s">
        <v>2375</v>
      </c>
    </row>
    <row r="246" spans="1:17" ht="16.2" customHeight="1">
      <c r="A246" s="29" t="str">
        <f t="shared" si="3"/>
        <v>modesg_param_sfics_taxon_europeiacombustivel</v>
      </c>
      <c r="B246" s="141" t="s">
        <v>26</v>
      </c>
      <c r="C246" s="137" t="s">
        <v>181</v>
      </c>
      <c r="D246" s="133" t="s">
        <v>40</v>
      </c>
      <c r="E246" s="134" t="s">
        <v>2154</v>
      </c>
      <c r="F246" s="133" t="s">
        <v>2104</v>
      </c>
      <c r="G246" s="135" t="str">
        <f>VLOOKUP(A246,Plano_V3!$A$26:$G$753,7,0)</f>
        <v>4. Validação EF</v>
      </c>
      <c r="H246" s="135" t="s">
        <v>612</v>
      </c>
      <c r="I246" s="143" t="s">
        <v>649</v>
      </c>
      <c r="J246" s="152" t="str">
        <f>IF(VLOOKUP(A246,'Aux - pivots1'!$A:$E,3,0)=0, "",VLOOKUP(A246,'Aux - pivots1'!$A:$E,3,0))</f>
        <v/>
      </c>
      <c r="K246" s="152" t="str">
        <f>IF(VLOOKUP(A246,'Aux - pivots1'!$A:$E,4,0)=0, "",VLOOKUP(A246,'Aux - pivots1'!$A:$E,4,0))</f>
        <v/>
      </c>
      <c r="L246" s="152" t="str">
        <f>IF(VLOOKUP(A246,'Aux - pivots1'!$A:$E,5,0)=0, "",VLOOKUP(A246,'Aux - pivots1'!$A:$E,5,0))</f>
        <v/>
      </c>
      <c r="M246" s="205"/>
      <c r="N246" s="205"/>
      <c r="O246" s="337" t="s">
        <v>29</v>
      </c>
      <c r="Q246" s="268" t="s">
        <v>2375</v>
      </c>
    </row>
    <row r="247" spans="1:17" ht="16.2" customHeight="1">
      <c r="A247" s="29" t="str">
        <f t="shared" si="3"/>
        <v>modesg_param_sfics_taxon_europeiaco2</v>
      </c>
      <c r="B247" s="141" t="s">
        <v>26</v>
      </c>
      <c r="C247" s="137" t="s">
        <v>181</v>
      </c>
      <c r="D247" s="133" t="s">
        <v>40</v>
      </c>
      <c r="E247" s="134" t="s">
        <v>2154</v>
      </c>
      <c r="F247" s="133" t="s">
        <v>2105</v>
      </c>
      <c r="G247" s="135" t="str">
        <f>VLOOKUP(A247,Plano_V3!$A$26:$G$753,7,0)</f>
        <v>4. Validação EF</v>
      </c>
      <c r="H247" s="135" t="s">
        <v>612</v>
      </c>
      <c r="I247" s="142"/>
      <c r="J247" s="152" t="str">
        <f>IF(VLOOKUP(A247,'Aux - pivots1'!$A:$E,3,0)=0, "",VLOOKUP(A247,'Aux - pivots1'!$A:$E,3,0))</f>
        <v/>
      </c>
      <c r="K247" s="152" t="str">
        <f>IF(VLOOKUP(A247,'Aux - pivots1'!$A:$E,4,0)=0, "",VLOOKUP(A247,'Aux - pivots1'!$A:$E,4,0))</f>
        <v/>
      </c>
      <c r="L247" s="152" t="str">
        <f>IF(VLOOKUP(A247,'Aux - pivots1'!$A:$E,5,0)=0, "",VLOOKUP(A247,'Aux - pivots1'!$A:$E,5,0))</f>
        <v/>
      </c>
      <c r="M247" s="205"/>
      <c r="N247" s="205"/>
      <c r="O247" s="337" t="s">
        <v>29</v>
      </c>
      <c r="Q247" s="268" t="s">
        <v>2375</v>
      </c>
    </row>
    <row r="248" spans="1:17" ht="16.2" customHeight="1">
      <c r="A248" s="29" t="str">
        <f t="shared" si="3"/>
        <v>modesg_param_sfics_taxon_europeiacod_lease</v>
      </c>
      <c r="B248" s="141" t="s">
        <v>26</v>
      </c>
      <c r="C248" s="137" t="s">
        <v>181</v>
      </c>
      <c r="D248" s="133" t="s">
        <v>40</v>
      </c>
      <c r="E248" s="134" t="s">
        <v>2154</v>
      </c>
      <c r="F248" s="133" t="s">
        <v>190</v>
      </c>
      <c r="G248" s="135" t="str">
        <f>VLOOKUP(A248,Plano_V3!$A$26:$G$753,7,0)</f>
        <v>4. Validação EF</v>
      </c>
      <c r="H248" s="135" t="s">
        <v>614</v>
      </c>
      <c r="I248" s="142" t="s">
        <v>650</v>
      </c>
      <c r="J248" s="152" t="str">
        <f>IF(VLOOKUP(A248,'Aux - pivots1'!$A:$E,3,0)=0, "",VLOOKUP(A248,'Aux - pivots1'!$A:$E,3,0))</f>
        <v/>
      </c>
      <c r="K248" s="152" t="str">
        <f>IF(VLOOKUP(A248,'Aux - pivots1'!$A:$E,4,0)=0, "",VLOOKUP(A248,'Aux - pivots1'!$A:$E,4,0))</f>
        <v/>
      </c>
      <c r="L248" s="152" t="str">
        <f>IF(VLOOKUP(A248,'Aux - pivots1'!$A:$E,5,0)=0, "",VLOOKUP(A248,'Aux - pivots1'!$A:$E,5,0))</f>
        <v/>
      </c>
      <c r="M248" s="205"/>
      <c r="N248" s="205"/>
      <c r="O248" s="337" t="s">
        <v>29</v>
      </c>
      <c r="Q248" s="268" t="s">
        <v>2375</v>
      </c>
    </row>
    <row r="249" spans="1:17" ht="16.2" customHeight="1">
      <c r="A249" s="29" t="str">
        <f t="shared" si="3"/>
        <v>modesg_param_sfics_taxon_europeiadabertur</v>
      </c>
      <c r="B249" s="141" t="s">
        <v>26</v>
      </c>
      <c r="C249" s="137" t="s">
        <v>181</v>
      </c>
      <c r="D249" s="133" t="s">
        <v>40</v>
      </c>
      <c r="E249" s="134" t="s">
        <v>2154</v>
      </c>
      <c r="F249" s="133" t="s">
        <v>2108</v>
      </c>
      <c r="G249" s="135" t="str">
        <f>VLOOKUP(A249,Plano_V3!$A$26:$G$753,7,0)</f>
        <v>4. Validação EF</v>
      </c>
      <c r="H249" s="135" t="s">
        <v>612</v>
      </c>
      <c r="I249" s="153"/>
      <c r="J249" s="152" t="str">
        <f>IF(VLOOKUP(A249,'Aux - pivots1'!$A:$E,3,0)=0, "",VLOOKUP(A249,'Aux - pivots1'!$A:$E,3,0))</f>
        <v/>
      </c>
      <c r="K249" s="152" t="str">
        <f>IF(VLOOKUP(A249,'Aux - pivots1'!$A:$E,4,0)=0, "",VLOOKUP(A249,'Aux - pivots1'!$A:$E,4,0))</f>
        <v/>
      </c>
      <c r="L249" s="152" t="str">
        <f>IF(VLOOKUP(A249,'Aux - pivots1'!$A:$E,5,0)=0, "",VLOOKUP(A249,'Aux - pivots1'!$A:$E,5,0))</f>
        <v/>
      </c>
      <c r="M249" s="205"/>
      <c r="N249" s="205"/>
      <c r="O249" s="337" t="s">
        <v>29</v>
      </c>
      <c r="Q249" s="268" t="s">
        <v>2375</v>
      </c>
    </row>
    <row r="250" spans="1:17" ht="16.2" customHeight="1">
      <c r="A250" s="29" t="str">
        <f t="shared" si="3"/>
        <v>modesg_param_sfics_taxon_europeiaflg_csrd</v>
      </c>
      <c r="B250" s="141" t="s">
        <v>26</v>
      </c>
      <c r="C250" s="137" t="s">
        <v>181</v>
      </c>
      <c r="D250" s="133" t="s">
        <v>40</v>
      </c>
      <c r="E250" s="134" t="s">
        <v>2154</v>
      </c>
      <c r="F250" s="133" t="s">
        <v>2103</v>
      </c>
      <c r="G250" s="135" t="str">
        <f>VLOOKUP(A250,Plano_V3!$A$26:$G$753,7,0)</f>
        <v>4. Validação EF</v>
      </c>
      <c r="H250" s="135" t="s">
        <v>612</v>
      </c>
      <c r="I250" s="153"/>
      <c r="J250" s="152" t="str">
        <f>IF(VLOOKUP(A250,'Aux - pivots1'!$A:$E,3,0)=0, "",VLOOKUP(A250,'Aux - pivots1'!$A:$E,3,0))</f>
        <v/>
      </c>
      <c r="K250" s="152" t="str">
        <f>IF(VLOOKUP(A250,'Aux - pivots1'!$A:$E,4,0)=0, "",VLOOKUP(A250,'Aux - pivots1'!$A:$E,4,0))</f>
        <v/>
      </c>
      <c r="L250" s="152" t="str">
        <f>IF(VLOOKUP(A250,'Aux - pivots1'!$A:$E,5,0)=0, "",VLOOKUP(A250,'Aux - pivots1'!$A:$E,5,0))</f>
        <v/>
      </c>
      <c r="M250" s="205"/>
      <c r="N250" s="205"/>
      <c r="O250" s="337" t="s">
        <v>29</v>
      </c>
      <c r="Q250" s="268" t="s">
        <v>2375</v>
      </c>
    </row>
    <row r="251" spans="1:17" ht="16.2" customHeight="1">
      <c r="A251" s="29" t="str">
        <f t="shared" si="3"/>
        <v>modesg_param_sfics_taxon_europeianome_ctgr_sfics</v>
      </c>
      <c r="B251" s="141" t="s">
        <v>26</v>
      </c>
      <c r="C251" s="137" t="s">
        <v>181</v>
      </c>
      <c r="D251" s="133" t="s">
        <v>40</v>
      </c>
      <c r="E251" s="134" t="s">
        <v>2154</v>
      </c>
      <c r="F251" s="133" t="s">
        <v>2101</v>
      </c>
      <c r="G251" s="135" t="str">
        <f>VLOOKUP(A251,Plano_V3!$A$26:$G$753,7,0)</f>
        <v>4. Validação EF</v>
      </c>
      <c r="H251" s="135" t="s">
        <v>612</v>
      </c>
      <c r="I251" s="153"/>
      <c r="J251" s="152" t="str">
        <f>IF(VLOOKUP(A251,'Aux - pivots1'!$A:$E,3,0)=0, "",VLOOKUP(A251,'Aux - pivots1'!$A:$E,3,0))</f>
        <v/>
      </c>
      <c r="K251" s="152" t="str">
        <f>IF(VLOOKUP(A251,'Aux - pivots1'!$A:$E,4,0)=0, "",VLOOKUP(A251,'Aux - pivots1'!$A:$E,4,0))</f>
        <v/>
      </c>
      <c r="L251" s="152" t="str">
        <f>IF(VLOOKUP(A251,'Aux - pivots1'!$A:$E,5,0)=0, "",VLOOKUP(A251,'Aux - pivots1'!$A:$E,5,0))</f>
        <v/>
      </c>
      <c r="M251" s="205"/>
      <c r="N251" s="205"/>
      <c r="O251" s="337" t="s">
        <v>29</v>
      </c>
      <c r="Q251" s="268" t="s">
        <v>2375</v>
      </c>
    </row>
    <row r="252" spans="1:17" ht="16.2" customHeight="1">
      <c r="A252" s="29" t="str">
        <f t="shared" si="3"/>
        <v>modesg_param_sfics_taxon_europeiamontante_pndrc</v>
      </c>
      <c r="B252" s="141" t="s">
        <v>26</v>
      </c>
      <c r="C252" s="137" t="s">
        <v>181</v>
      </c>
      <c r="D252" s="133" t="s">
        <v>40</v>
      </c>
      <c r="E252" s="134" t="s">
        <v>2154</v>
      </c>
      <c r="F252" s="133" t="s">
        <v>202</v>
      </c>
      <c r="G252" s="135" t="str">
        <f>VLOOKUP(A252,Plano_V3!$A$26:$G$753,7,0)</f>
        <v>4. Validação EF</v>
      </c>
      <c r="H252" s="135" t="s">
        <v>612</v>
      </c>
      <c r="I252" s="153"/>
      <c r="J252" s="152" t="str">
        <f>IF(VLOOKUP(A252,'Aux - pivots1'!$A:$E,3,0)=0, "",VLOOKUP(A252,'Aux - pivots1'!$A:$E,3,0))</f>
        <v/>
      </c>
      <c r="K252" s="152" t="str">
        <f>IF(VLOOKUP(A252,'Aux - pivots1'!$A:$E,4,0)=0, "",VLOOKUP(A252,'Aux - pivots1'!$A:$E,4,0))</f>
        <v/>
      </c>
      <c r="L252" s="152" t="str">
        <f>IF(VLOOKUP(A252,'Aux - pivots1'!$A:$E,5,0)=0, "",VLOOKUP(A252,'Aux - pivots1'!$A:$E,5,0))</f>
        <v/>
      </c>
      <c r="M252" s="205"/>
      <c r="N252" s="205"/>
      <c r="O252" s="337" t="s">
        <v>29</v>
      </c>
      <c r="Q252" s="268" t="s">
        <v>2375</v>
      </c>
    </row>
    <row r="253" spans="1:17" ht="16.2" customHeight="1">
      <c r="A253" s="29" t="str">
        <f t="shared" si="3"/>
        <v>modesg_param_sfics_taxon_europeianome_purpose_esg_alinh_tax</v>
      </c>
      <c r="B253" s="141" t="s">
        <v>26</v>
      </c>
      <c r="C253" s="137" t="s">
        <v>181</v>
      </c>
      <c r="D253" s="133" t="s">
        <v>40</v>
      </c>
      <c r="E253" s="134" t="s">
        <v>2154</v>
      </c>
      <c r="F253" s="133" t="s">
        <v>2115</v>
      </c>
      <c r="G253" s="135" t="str">
        <f>VLOOKUP(A253,Plano_V3!$A$26:$G$753,7,0)</f>
        <v>4. Validação EF</v>
      </c>
      <c r="H253" s="135" t="s">
        <v>612</v>
      </c>
      <c r="I253" s="153"/>
      <c r="J253" s="152" t="str">
        <f>IF(VLOOKUP(A253,'Aux - pivots1'!$A:$E,3,0)=0, "",VLOOKUP(A253,'Aux - pivots1'!$A:$E,3,0))</f>
        <v/>
      </c>
      <c r="K253" s="152" t="str">
        <f>IF(VLOOKUP(A253,'Aux - pivots1'!$A:$E,4,0)=0, "",VLOOKUP(A253,'Aux - pivots1'!$A:$E,4,0))</f>
        <v/>
      </c>
      <c r="L253" s="152" t="str">
        <f>IF(VLOOKUP(A253,'Aux - pivots1'!$A:$E,5,0)=0, "",VLOOKUP(A253,'Aux - pivots1'!$A:$E,5,0))</f>
        <v/>
      </c>
      <c r="M253" s="205"/>
      <c r="N253" s="205"/>
      <c r="O253" s="337" t="s">
        <v>29</v>
      </c>
      <c r="Q253" s="268" t="s">
        <v>2375</v>
      </c>
    </row>
    <row r="254" spans="1:17" ht="16.2" customHeight="1">
      <c r="A254" s="29" t="str">
        <f t="shared" si="3"/>
        <v>modesg_param_sfics_taxon_europeianome_purpose_esg_nalinh_tax</v>
      </c>
      <c r="B254" s="141" t="s">
        <v>26</v>
      </c>
      <c r="C254" s="137" t="s">
        <v>181</v>
      </c>
      <c r="D254" s="133" t="s">
        <v>40</v>
      </c>
      <c r="E254" s="134" t="s">
        <v>2154</v>
      </c>
      <c r="F254" s="133" t="s">
        <v>2116</v>
      </c>
      <c r="G254" s="135" t="str">
        <f>VLOOKUP(A254,Plano_V3!$A$26:$G$753,7,0)</f>
        <v>4. Validação EF</v>
      </c>
      <c r="H254" s="135" t="s">
        <v>612</v>
      </c>
      <c r="I254" s="153"/>
      <c r="J254" s="152" t="str">
        <f>IF(VLOOKUP(A254,'Aux - pivots1'!$A:$E,3,0)=0, "",VLOOKUP(A254,'Aux - pivots1'!$A:$E,3,0))</f>
        <v/>
      </c>
      <c r="K254" s="152" t="str">
        <f>IF(VLOOKUP(A254,'Aux - pivots1'!$A:$E,4,0)=0, "",VLOOKUP(A254,'Aux - pivots1'!$A:$E,4,0))</f>
        <v/>
      </c>
      <c r="L254" s="152" t="str">
        <f>IF(VLOOKUP(A254,'Aux - pivots1'!$A:$E,5,0)=0, "",VLOOKUP(A254,'Aux - pivots1'!$A:$E,5,0))</f>
        <v/>
      </c>
      <c r="M254" s="205"/>
      <c r="N254" s="205"/>
      <c r="O254" s="337" t="s">
        <v>29</v>
      </c>
      <c r="Q254" s="268" t="s">
        <v>2375</v>
      </c>
    </row>
    <row r="255" spans="1:17" ht="16.2" customHeight="1">
      <c r="A255" s="29" t="str">
        <f t="shared" si="3"/>
        <v>modesg_param_sfics_taxon_europeianome_general_specific_purpose</v>
      </c>
      <c r="B255" s="141" t="s">
        <v>26</v>
      </c>
      <c r="C255" s="137" t="s">
        <v>181</v>
      </c>
      <c r="D255" s="133" t="s">
        <v>40</v>
      </c>
      <c r="E255" s="134" t="s">
        <v>2154</v>
      </c>
      <c r="F255" s="133" t="s">
        <v>204</v>
      </c>
      <c r="G255" s="135" t="str">
        <f>VLOOKUP(A255,Plano_V3!$A$26:$G$753,7,0)</f>
        <v>4. Validação EF</v>
      </c>
      <c r="H255" s="135" t="s">
        <v>612</v>
      </c>
      <c r="I255" s="153"/>
      <c r="J255" s="152" t="str">
        <f>IF(VLOOKUP(A255,'Aux - pivots1'!$A:$E,3,0)=0, "",VLOOKUP(A255,'Aux - pivots1'!$A:$E,3,0))</f>
        <v/>
      </c>
      <c r="K255" s="152" t="str">
        <f>IF(VLOOKUP(A255,'Aux - pivots1'!$A:$E,4,0)=0, "",VLOOKUP(A255,'Aux - pivots1'!$A:$E,4,0))</f>
        <v/>
      </c>
      <c r="L255" s="152" t="str">
        <f>IF(VLOOKUP(A255,'Aux - pivots1'!$A:$E,5,0)=0, "",VLOOKUP(A255,'Aux - pivots1'!$A:$E,5,0))</f>
        <v/>
      </c>
      <c r="M255" s="205"/>
      <c r="N255" s="205"/>
      <c r="O255" s="337" t="s">
        <v>29</v>
      </c>
      <c r="Q255" s="268" t="s">
        <v>2375</v>
      </c>
    </row>
    <row r="256" spans="1:17" ht="16.2" customHeight="1">
      <c r="A256" s="29" t="str">
        <f t="shared" si="3"/>
        <v>modesg_param_sfics_taxon_europeianome_specific_eligible</v>
      </c>
      <c r="B256" s="141" t="s">
        <v>26</v>
      </c>
      <c r="C256" s="137" t="s">
        <v>181</v>
      </c>
      <c r="D256" s="133" t="s">
        <v>40</v>
      </c>
      <c r="E256" s="134" t="s">
        <v>2154</v>
      </c>
      <c r="F256" s="133" t="s">
        <v>206</v>
      </c>
      <c r="G256" s="135" t="str">
        <f>VLOOKUP(A256,Plano_V3!$A$26:$G$753,7,0)</f>
        <v>4. Validação EF</v>
      </c>
      <c r="H256" s="135" t="s">
        <v>611</v>
      </c>
      <c r="I256" s="153" t="s">
        <v>651</v>
      </c>
      <c r="J256" s="152" t="str">
        <f>IF(VLOOKUP(A256,'Aux - pivots1'!$A:$E,3,0)=0, "",VLOOKUP(A256,'Aux - pivots1'!$A:$E,3,0))</f>
        <v/>
      </c>
      <c r="K256" s="152" t="str">
        <f>IF(VLOOKUP(A256,'Aux - pivots1'!$A:$E,4,0)=0, "",VLOOKUP(A256,'Aux - pivots1'!$A:$E,4,0))</f>
        <v/>
      </c>
      <c r="L256" s="152" t="str">
        <f>IF(VLOOKUP(A256,'Aux - pivots1'!$A:$E,5,0)=0, "",VLOOKUP(A256,'Aux - pivots1'!$A:$E,5,0))</f>
        <v/>
      </c>
      <c r="M256" s="205"/>
      <c r="N256" s="205"/>
      <c r="O256" s="337" t="s">
        <v>29</v>
      </c>
      <c r="Q256" s="268" t="s">
        <v>2375</v>
      </c>
    </row>
    <row r="257" spans="1:17" ht="16.2" customHeight="1">
      <c r="A257" s="29" t="str">
        <f t="shared" si="3"/>
        <v>modesg_param_sfics_taxon_europeianome_specific_sustainable</v>
      </c>
      <c r="B257" s="141" t="s">
        <v>26</v>
      </c>
      <c r="C257" s="137" t="s">
        <v>181</v>
      </c>
      <c r="D257" s="133" t="s">
        <v>40</v>
      </c>
      <c r="E257" s="134" t="s">
        <v>2154</v>
      </c>
      <c r="F257" s="133" t="s">
        <v>207</v>
      </c>
      <c r="G257" s="135" t="str">
        <f>VLOOKUP(A257,Plano_V3!$A$26:$G$753,7,0)</f>
        <v>4. Validação EF</v>
      </c>
      <c r="H257" s="135" t="s">
        <v>611</v>
      </c>
      <c r="I257" s="153" t="s">
        <v>651</v>
      </c>
      <c r="J257" s="152" t="str">
        <f>IF(VLOOKUP(A257,'Aux - pivots1'!$A:$E,3,0)=0, "",VLOOKUP(A257,'Aux - pivots1'!$A:$E,3,0))</f>
        <v/>
      </c>
      <c r="K257" s="152" t="str">
        <f>IF(VLOOKUP(A257,'Aux - pivots1'!$A:$E,4,0)=0, "",VLOOKUP(A257,'Aux - pivots1'!$A:$E,4,0))</f>
        <v/>
      </c>
      <c r="L257" s="152" t="str">
        <f>IF(VLOOKUP(A257,'Aux - pivots1'!$A:$E,5,0)=0, "",VLOOKUP(A257,'Aux - pivots1'!$A:$E,5,0))</f>
        <v/>
      </c>
      <c r="M257" s="205"/>
      <c r="N257" s="205"/>
      <c r="O257" s="337" t="s">
        <v>29</v>
      </c>
      <c r="Q257" s="268" t="s">
        <v>2375</v>
      </c>
    </row>
    <row r="258" spans="1:17" ht="16.2"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52" t="str">
        <f>IF(VLOOKUP(A258,'Aux - pivots1'!$A:$E,3,0)=0, "",VLOOKUP(A258,'Aux - pivots1'!$A:$E,3,0))</f>
        <v/>
      </c>
      <c r="K258" s="152" t="str">
        <f>IF(VLOOKUP(A258,'Aux - pivots1'!$A:$E,4,0)=0, "",VLOOKUP(A258,'Aux - pivots1'!$A:$E,4,0))</f>
        <v/>
      </c>
      <c r="L258" s="152" t="str">
        <f>IF(VLOOKUP(A258,'Aux - pivots1'!$A:$E,5,0)=0, "",VLOOKUP(A258,'Aux - pivots1'!$A:$E,5,0))</f>
        <v/>
      </c>
      <c r="M258" s="205"/>
      <c r="N258" s="205"/>
      <c r="O258" s="337" t="s">
        <v>29</v>
      </c>
    </row>
    <row r="259" spans="1:17" ht="16.2"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52" t="str">
        <f>IF(VLOOKUP(A259,'Aux - pivots1'!$A:$E,3,0)=0, "",VLOOKUP(A259,'Aux - pivots1'!$A:$E,3,0))</f>
        <v/>
      </c>
      <c r="K259" s="152" t="str">
        <f>IF(VLOOKUP(A259,'Aux - pivots1'!$A:$E,4,0)=0, "",VLOOKUP(A259,'Aux - pivots1'!$A:$E,4,0))</f>
        <v/>
      </c>
      <c r="L259" s="152" t="str">
        <f>IF(VLOOKUP(A259,'Aux - pivots1'!$A:$E,5,0)=0, "",VLOOKUP(A259,'Aux - pivots1'!$A:$E,5,0))</f>
        <v/>
      </c>
      <c r="M259" s="205"/>
      <c r="N259" s="205"/>
      <c r="O259" s="337" t="s">
        <v>29</v>
      </c>
    </row>
    <row r="260" spans="1:17" ht="16.2"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2" t="str">
        <f>IF(VLOOKUP(A260,'Aux - pivots1'!$A:$E,3,0)=0, "",VLOOKUP(A260,'Aux - pivots1'!$A:$E,3,0))</f>
        <v/>
      </c>
      <c r="K260" s="152" t="str">
        <f>IF(VLOOKUP(A260,'Aux - pivots1'!$A:$E,4,0)=0, "",VLOOKUP(A260,'Aux - pivots1'!$A:$E,4,0))</f>
        <v/>
      </c>
      <c r="L260" s="152" t="str">
        <f>IF(VLOOKUP(A260,'Aux - pivots1'!$A:$E,5,0)=0, "",VLOOKUP(A260,'Aux - pivots1'!$A:$E,5,0))</f>
        <v/>
      </c>
      <c r="M260" s="205"/>
      <c r="N260" s="205"/>
      <c r="O260" s="337" t="s">
        <v>29</v>
      </c>
    </row>
    <row r="261" spans="1:17" ht="16.2"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52" t="str">
        <f>IF(VLOOKUP(A261,'Aux - pivots1'!$A:$E,3,0)=0, "",VLOOKUP(A261,'Aux - pivots1'!$A:$E,3,0))</f>
        <v/>
      </c>
      <c r="K261" s="152" t="str">
        <f>IF(VLOOKUP(A261,'Aux - pivots1'!$A:$E,4,0)=0, "",VLOOKUP(A261,'Aux - pivots1'!$A:$E,4,0))</f>
        <v/>
      </c>
      <c r="L261" s="152" t="str">
        <f>IF(VLOOKUP(A261,'Aux - pivots1'!$A:$E,5,0)=0, "",VLOOKUP(A261,'Aux - pivots1'!$A:$E,5,0))</f>
        <v/>
      </c>
      <c r="M261" s="205"/>
      <c r="N261" s="205"/>
      <c r="O261" s="337" t="s">
        <v>29</v>
      </c>
    </row>
    <row r="262" spans="1:17" ht="16.2"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2" t="str">
        <f>IF(VLOOKUP(A262,'Aux - pivots1'!$A:$E,3,0)=0, "",VLOOKUP(A262,'Aux - pivots1'!$A:$E,3,0))</f>
        <v/>
      </c>
      <c r="K262" s="152" t="str">
        <f>IF(VLOOKUP(A262,'Aux - pivots1'!$A:$E,4,0)=0, "",VLOOKUP(A262,'Aux - pivots1'!$A:$E,4,0))</f>
        <v/>
      </c>
      <c r="L262" s="152" t="str">
        <f>IF(VLOOKUP(A262,'Aux - pivots1'!$A:$E,5,0)=0, "",VLOOKUP(A262,'Aux - pivots1'!$A:$E,5,0))</f>
        <v/>
      </c>
      <c r="M262" s="205"/>
      <c r="N262" s="205"/>
      <c r="O262" s="337" t="s">
        <v>29</v>
      </c>
    </row>
    <row r="263" spans="1:17" ht="16.2"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2" t="str">
        <f>IF(VLOOKUP(A263,'Aux - pivots1'!$A:$E,3,0)=0, "",VLOOKUP(A263,'Aux - pivots1'!$A:$E,3,0))</f>
        <v/>
      </c>
      <c r="K263" s="152" t="str">
        <f>IF(VLOOKUP(A263,'Aux - pivots1'!$A:$E,4,0)=0, "",VLOOKUP(A263,'Aux - pivots1'!$A:$E,4,0))</f>
        <v/>
      </c>
      <c r="L263" s="152" t="str">
        <f>IF(VLOOKUP(A263,'Aux - pivots1'!$A:$E,5,0)=0, "",VLOOKUP(A263,'Aux - pivots1'!$A:$E,5,0))</f>
        <v/>
      </c>
      <c r="M263" s="205"/>
      <c r="N263" s="205"/>
      <c r="O263" s="337" t="s">
        <v>29</v>
      </c>
    </row>
    <row r="264" spans="1:17" ht="16.2"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52" t="str">
        <f>IF(VLOOKUP(A264,'Aux - pivots1'!$A:$E,3,0)=0, "",VLOOKUP(A264,'Aux - pivots1'!$A:$E,3,0))</f>
        <v/>
      </c>
      <c r="K264" s="152" t="str">
        <f>IF(VLOOKUP(A264,'Aux - pivots1'!$A:$E,4,0)=0, "",VLOOKUP(A264,'Aux - pivots1'!$A:$E,4,0))</f>
        <v/>
      </c>
      <c r="L264" s="152" t="str">
        <f>IF(VLOOKUP(A264,'Aux - pivots1'!$A:$E,5,0)=0, "",VLOOKUP(A264,'Aux - pivots1'!$A:$E,5,0))</f>
        <v/>
      </c>
      <c r="M264" s="205"/>
      <c r="N264" s="205"/>
      <c r="O264" s="337" t="s">
        <v>29</v>
      </c>
    </row>
    <row r="265" spans="1:17" ht="16.2"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52" t="str">
        <f>IF(VLOOKUP(A265,'Aux - pivots1'!$A:$E,3,0)=0, "",VLOOKUP(A265,'Aux - pivots1'!$A:$E,3,0))</f>
        <v/>
      </c>
      <c r="K265" s="152" t="str">
        <f>IF(VLOOKUP(A265,'Aux - pivots1'!$A:$E,4,0)=0, "",VLOOKUP(A265,'Aux - pivots1'!$A:$E,4,0))</f>
        <v/>
      </c>
      <c r="L265" s="152" t="str">
        <f>IF(VLOOKUP(A265,'Aux - pivots1'!$A:$E,5,0)=0, "",VLOOKUP(A265,'Aux - pivots1'!$A:$E,5,0))</f>
        <v/>
      </c>
      <c r="M265" s="205"/>
      <c r="N265" s="205"/>
      <c r="O265" s="337" t="s">
        <v>29</v>
      </c>
    </row>
    <row r="266" spans="1:17" ht="16.2"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52" t="str">
        <f>IF(VLOOKUP(A266,'Aux - pivots1'!$A:$E,3,0)=0, "",VLOOKUP(A266,'Aux - pivots1'!$A:$E,3,0))</f>
        <v/>
      </c>
      <c r="K266" s="152" t="str">
        <f>IF(VLOOKUP(A266,'Aux - pivots1'!$A:$E,4,0)=0, "",VLOOKUP(A266,'Aux - pivots1'!$A:$E,4,0))</f>
        <v/>
      </c>
      <c r="L266" s="152" t="str">
        <f>IF(VLOOKUP(A266,'Aux - pivots1'!$A:$E,5,0)=0, "",VLOOKUP(A266,'Aux - pivots1'!$A:$E,5,0))</f>
        <v/>
      </c>
      <c r="M266" s="205"/>
      <c r="N266" s="205"/>
      <c r="O266" s="337" t="s">
        <v>29</v>
      </c>
    </row>
    <row r="267" spans="1:17" ht="16.2"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52" t="str">
        <f>IF(VLOOKUP(A267,'Aux - pivots1'!$A:$E,3,0)=0, "",VLOOKUP(A267,'Aux - pivots1'!$A:$E,3,0))</f>
        <v/>
      </c>
      <c r="K267" s="152" t="str">
        <f>IF(VLOOKUP(A267,'Aux - pivots1'!$A:$E,4,0)=0, "",VLOOKUP(A267,'Aux - pivots1'!$A:$E,4,0))</f>
        <v/>
      </c>
      <c r="L267" s="152" t="str">
        <f>IF(VLOOKUP(A267,'Aux - pivots1'!$A:$E,5,0)=0, "",VLOOKUP(A267,'Aux - pivots1'!$A:$E,5,0))</f>
        <v/>
      </c>
      <c r="M267" s="205"/>
      <c r="N267" s="205"/>
      <c r="O267" s="337" t="s">
        <v>29</v>
      </c>
    </row>
    <row r="268" spans="1:17" ht="16.2"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52" t="str">
        <f>IF(VLOOKUP(A268,'Aux - pivots1'!$A:$E,3,0)=0, "",VLOOKUP(A268,'Aux - pivots1'!$A:$E,3,0))</f>
        <v/>
      </c>
      <c r="K268" s="152" t="str">
        <f>IF(VLOOKUP(A268,'Aux - pivots1'!$A:$E,4,0)=0, "",VLOOKUP(A268,'Aux - pivots1'!$A:$E,4,0))</f>
        <v/>
      </c>
      <c r="L268" s="152" t="str">
        <f>IF(VLOOKUP(A268,'Aux - pivots1'!$A:$E,5,0)=0, "",VLOOKUP(A268,'Aux - pivots1'!$A:$E,5,0))</f>
        <v/>
      </c>
      <c r="M268" s="205"/>
      <c r="N268" s="205"/>
      <c r="O268" s="337" t="s">
        <v>29</v>
      </c>
    </row>
    <row r="269" spans="1:17" ht="16.2"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52" t="str">
        <f>IF(VLOOKUP(A269,'Aux - pivots1'!$A:$E,3,0)=0, "",VLOOKUP(A269,'Aux - pivots1'!$A:$E,3,0))</f>
        <v/>
      </c>
      <c r="K269" s="152" t="str">
        <f>IF(VLOOKUP(A269,'Aux - pivots1'!$A:$E,4,0)=0, "",VLOOKUP(A269,'Aux - pivots1'!$A:$E,4,0))</f>
        <v/>
      </c>
      <c r="L269" s="152" t="str">
        <f>IF(VLOOKUP(A269,'Aux - pivots1'!$A:$E,5,0)=0, "",VLOOKUP(A269,'Aux - pivots1'!$A:$E,5,0))</f>
        <v/>
      </c>
      <c r="M269" s="205"/>
      <c r="N269" s="205"/>
      <c r="O269" s="337" t="s">
        <v>29</v>
      </c>
    </row>
    <row r="270" spans="1:17" ht="16.2"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52" t="str">
        <f>IF(VLOOKUP(A270,'Aux - pivots1'!$A:$E,3,0)=0, "",VLOOKUP(A270,'Aux - pivots1'!$A:$E,3,0))</f>
        <v/>
      </c>
      <c r="K270" s="152" t="str">
        <f>IF(VLOOKUP(A270,'Aux - pivots1'!$A:$E,4,0)=0, "",VLOOKUP(A270,'Aux - pivots1'!$A:$E,4,0))</f>
        <v/>
      </c>
      <c r="L270" s="152" t="str">
        <f>IF(VLOOKUP(A270,'Aux - pivots1'!$A:$E,5,0)=0, "",VLOOKUP(A270,'Aux - pivots1'!$A:$E,5,0))</f>
        <v/>
      </c>
      <c r="M270" s="205"/>
      <c r="N270" s="205"/>
      <c r="O270" s="337" t="s">
        <v>29</v>
      </c>
    </row>
    <row r="271" spans="1:17" ht="16.2"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52" t="str">
        <f>IF(VLOOKUP(A271,'Aux - pivots1'!$A:$E,3,0)=0, "",VLOOKUP(A271,'Aux - pivots1'!$A:$E,3,0))</f>
        <v/>
      </c>
      <c r="K271" s="152" t="str">
        <f>IF(VLOOKUP(A271,'Aux - pivots1'!$A:$E,4,0)=0, "",VLOOKUP(A271,'Aux - pivots1'!$A:$E,4,0))</f>
        <v/>
      </c>
      <c r="L271" s="152" t="str">
        <f>IF(VLOOKUP(A271,'Aux - pivots1'!$A:$E,5,0)=0, "",VLOOKUP(A271,'Aux - pivots1'!$A:$E,5,0))</f>
        <v/>
      </c>
      <c r="M271" s="205"/>
      <c r="N271" s="205"/>
      <c r="O271" s="337" t="s">
        <v>29</v>
      </c>
    </row>
    <row r="272" spans="1:17" ht="16.2"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52" t="str">
        <f>IF(VLOOKUP(A272,'Aux - pivots1'!$A:$E,3,0)=0, "",VLOOKUP(A272,'Aux - pivots1'!$A:$E,3,0))</f>
        <v/>
      </c>
      <c r="K272" s="152" t="str">
        <f>IF(VLOOKUP(A272,'Aux - pivots1'!$A:$E,4,0)=0, "",VLOOKUP(A272,'Aux - pivots1'!$A:$E,4,0))</f>
        <v/>
      </c>
      <c r="L272" s="152" t="str">
        <f>IF(VLOOKUP(A272,'Aux - pivots1'!$A:$E,5,0)=0, "",VLOOKUP(A272,'Aux - pivots1'!$A:$E,5,0))</f>
        <v/>
      </c>
      <c r="M272" s="205"/>
      <c r="N272" s="205"/>
      <c r="O272" s="337" t="s">
        <v>29</v>
      </c>
    </row>
    <row r="273" spans="1:15" ht="16.2"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52" t="str">
        <f>IF(VLOOKUP(A273,'Aux - pivots1'!$A:$E,3,0)=0, "",VLOOKUP(A273,'Aux - pivots1'!$A:$E,3,0))</f>
        <v/>
      </c>
      <c r="K273" s="152" t="str">
        <f>IF(VLOOKUP(A273,'Aux - pivots1'!$A:$E,4,0)=0, "",VLOOKUP(A273,'Aux - pivots1'!$A:$E,4,0))</f>
        <v/>
      </c>
      <c r="L273" s="152" t="str">
        <f>IF(VLOOKUP(A273,'Aux - pivots1'!$A:$E,5,0)=0, "",VLOOKUP(A273,'Aux - pivots1'!$A:$E,5,0))</f>
        <v/>
      </c>
      <c r="M273" s="205"/>
      <c r="N273" s="205"/>
      <c r="O273" s="337" t="s">
        <v>29</v>
      </c>
    </row>
    <row r="274" spans="1:15" ht="16.2"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t="s">
        <v>652</v>
      </c>
      <c r="J274" s="152" t="str">
        <f>IF(VLOOKUP(A274,'Aux - pivots1'!$A:$E,3,0)=0, "",VLOOKUP(A274,'Aux - pivots1'!$A:$E,3,0))</f>
        <v/>
      </c>
      <c r="K274" s="152" t="str">
        <f>IF(VLOOKUP(A274,'Aux - pivots1'!$A:$E,4,0)=0, "",VLOOKUP(A274,'Aux - pivots1'!$A:$E,4,0))</f>
        <v/>
      </c>
      <c r="L274" s="152" t="str">
        <f>IF(VLOOKUP(A274,'Aux - pivots1'!$A:$E,5,0)=0, "",VLOOKUP(A274,'Aux - pivots1'!$A:$E,5,0))</f>
        <v/>
      </c>
      <c r="M274" s="205"/>
      <c r="N274" s="205"/>
      <c r="O274" s="337" t="s">
        <v>29</v>
      </c>
    </row>
    <row r="275" spans="1:15" ht="16.2"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52" t="str">
        <f>IF(VLOOKUP(A275,'Aux - pivots1'!$A:$E,3,0)=0, "",VLOOKUP(A275,'Aux - pivots1'!$A:$E,3,0))</f>
        <v/>
      </c>
      <c r="K275" s="152" t="str">
        <f>IF(VLOOKUP(A275,'Aux - pivots1'!$A:$E,4,0)=0, "",VLOOKUP(A275,'Aux - pivots1'!$A:$E,4,0))</f>
        <v/>
      </c>
      <c r="L275" s="152" t="str">
        <f>IF(VLOOKUP(A275,'Aux - pivots1'!$A:$E,5,0)=0, "",VLOOKUP(A275,'Aux - pivots1'!$A:$E,5,0))</f>
        <v/>
      </c>
      <c r="M275" s="205"/>
      <c r="N275" s="205"/>
      <c r="O275" s="337" t="s">
        <v>29</v>
      </c>
    </row>
    <row r="276" spans="1:15" ht="16.2"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52" t="str">
        <f>IF(VLOOKUP(A276,'Aux - pivots1'!$A:$E,3,0)=0, "",VLOOKUP(A276,'Aux - pivots1'!$A:$E,3,0))</f>
        <v/>
      </c>
      <c r="K276" s="152" t="str">
        <f>IF(VLOOKUP(A276,'Aux - pivots1'!$A:$E,4,0)=0, "",VLOOKUP(A276,'Aux - pivots1'!$A:$E,4,0))</f>
        <v/>
      </c>
      <c r="L276" s="152" t="str">
        <f>IF(VLOOKUP(A276,'Aux - pivots1'!$A:$E,5,0)=0, "",VLOOKUP(A276,'Aux - pivots1'!$A:$E,5,0))</f>
        <v/>
      </c>
      <c r="M276" s="205"/>
      <c r="N276" s="205"/>
      <c r="O276" s="337" t="s">
        <v>29</v>
      </c>
    </row>
    <row r="277" spans="1:15" ht="16.2"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52" t="str">
        <f>IF(VLOOKUP(A277,'Aux - pivots1'!$A:$E,3,0)=0, "",VLOOKUP(A277,'Aux - pivots1'!$A:$E,3,0))</f>
        <v/>
      </c>
      <c r="K277" s="152" t="str">
        <f>IF(VLOOKUP(A277,'Aux - pivots1'!$A:$E,4,0)=0, "",VLOOKUP(A277,'Aux - pivots1'!$A:$E,4,0))</f>
        <v/>
      </c>
      <c r="L277" s="152" t="str">
        <f>IF(VLOOKUP(A277,'Aux - pivots1'!$A:$E,5,0)=0, "",VLOOKUP(A277,'Aux - pivots1'!$A:$E,5,0))</f>
        <v/>
      </c>
      <c r="M277" s="205"/>
      <c r="N277" s="205"/>
      <c r="O277" s="337" t="s">
        <v>29</v>
      </c>
    </row>
    <row r="278" spans="1:15" ht="16.2"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52" t="str">
        <f>IF(VLOOKUP(A278,'Aux - pivots1'!$A:$E,3,0)=0, "",VLOOKUP(A278,'Aux - pivots1'!$A:$E,3,0))</f>
        <v/>
      </c>
      <c r="K278" s="152" t="str">
        <f>IF(VLOOKUP(A278,'Aux - pivots1'!$A:$E,4,0)=0, "",VLOOKUP(A278,'Aux - pivots1'!$A:$E,4,0))</f>
        <v/>
      </c>
      <c r="L278" s="152" t="str">
        <f>IF(VLOOKUP(A278,'Aux - pivots1'!$A:$E,5,0)=0, "",VLOOKUP(A278,'Aux - pivots1'!$A:$E,5,0))</f>
        <v/>
      </c>
      <c r="M278" s="205"/>
      <c r="N278" s="205"/>
      <c r="O278" s="337" t="s">
        <v>29</v>
      </c>
    </row>
    <row r="279" spans="1:15" ht="16.2"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52" t="str">
        <f>IF(VLOOKUP(A279,'Aux - pivots1'!$A:$E,3,0)=0, "",VLOOKUP(A279,'Aux - pivots1'!$A:$E,3,0))</f>
        <v/>
      </c>
      <c r="K279" s="152" t="str">
        <f>IF(VLOOKUP(A279,'Aux - pivots1'!$A:$E,4,0)=0, "",VLOOKUP(A279,'Aux - pivots1'!$A:$E,4,0))</f>
        <v/>
      </c>
      <c r="L279" s="152" t="str">
        <f>IF(VLOOKUP(A279,'Aux - pivots1'!$A:$E,5,0)=0, "",VLOOKUP(A279,'Aux - pivots1'!$A:$E,5,0))</f>
        <v/>
      </c>
      <c r="M279" s="205"/>
      <c r="N279" s="205"/>
      <c r="O279" s="337" t="s">
        <v>29</v>
      </c>
    </row>
    <row r="280" spans="1:15" ht="16.2"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52" t="str">
        <f>IF(VLOOKUP(A280,'Aux - pivots1'!$A:$E,3,0)=0, "",VLOOKUP(A280,'Aux - pivots1'!$A:$E,3,0))</f>
        <v/>
      </c>
      <c r="K280" s="152" t="str">
        <f>IF(VLOOKUP(A280,'Aux - pivots1'!$A:$E,4,0)=0, "",VLOOKUP(A280,'Aux - pivots1'!$A:$E,4,0))</f>
        <v/>
      </c>
      <c r="L280" s="152" t="str">
        <f>IF(VLOOKUP(A280,'Aux - pivots1'!$A:$E,5,0)=0, "",VLOOKUP(A280,'Aux - pivots1'!$A:$E,5,0))</f>
        <v/>
      </c>
      <c r="M280" s="205"/>
      <c r="N280" s="205"/>
      <c r="O280" s="337" t="s">
        <v>29</v>
      </c>
    </row>
    <row r="281" spans="1:15" ht="16.2"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52" t="str">
        <f>IF(VLOOKUP(A281,'Aux - pivots1'!$A:$E,3,0)=0, "",VLOOKUP(A281,'Aux - pivots1'!$A:$E,3,0))</f>
        <v/>
      </c>
      <c r="K281" s="152" t="str">
        <f>IF(VLOOKUP(A281,'Aux - pivots1'!$A:$E,4,0)=0, "",VLOOKUP(A281,'Aux - pivots1'!$A:$E,4,0))</f>
        <v/>
      </c>
      <c r="L281" s="152" t="str">
        <f>IF(VLOOKUP(A281,'Aux - pivots1'!$A:$E,5,0)=0, "",VLOOKUP(A281,'Aux - pivots1'!$A:$E,5,0))</f>
        <v/>
      </c>
      <c r="M281" s="205"/>
      <c r="N281" s="205"/>
      <c r="O281" s="337" t="s">
        <v>29</v>
      </c>
    </row>
    <row r="282" spans="1:15" ht="16.2"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52" t="str">
        <f>IF(VLOOKUP(A282,'Aux - pivots1'!$A:$E,3,0)=0, "",VLOOKUP(A282,'Aux - pivots1'!$A:$E,3,0))</f>
        <v/>
      </c>
      <c r="K282" s="152" t="str">
        <f>IF(VLOOKUP(A282,'Aux - pivots1'!$A:$E,4,0)=0, "",VLOOKUP(A282,'Aux - pivots1'!$A:$E,4,0))</f>
        <v/>
      </c>
      <c r="L282" s="152" t="str">
        <f>IF(VLOOKUP(A282,'Aux - pivots1'!$A:$E,5,0)=0, "",VLOOKUP(A282,'Aux - pivots1'!$A:$E,5,0))</f>
        <v/>
      </c>
      <c r="M282" s="205"/>
      <c r="N282" s="205"/>
      <c r="O282" s="337" t="s">
        <v>29</v>
      </c>
    </row>
    <row r="283" spans="1:15" ht="16.2"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52" t="str">
        <f>IF(VLOOKUP(A283,'Aux - pivots1'!$A:$E,3,0)=0, "",VLOOKUP(A283,'Aux - pivots1'!$A:$E,3,0))</f>
        <v/>
      </c>
      <c r="K283" s="152" t="str">
        <f>IF(VLOOKUP(A283,'Aux - pivots1'!$A:$E,4,0)=0, "",VLOOKUP(A283,'Aux - pivots1'!$A:$E,4,0))</f>
        <v/>
      </c>
      <c r="L283" s="152" t="str">
        <f>IF(VLOOKUP(A283,'Aux - pivots1'!$A:$E,5,0)=0, "",VLOOKUP(A283,'Aux - pivots1'!$A:$E,5,0))</f>
        <v/>
      </c>
      <c r="M283" s="205"/>
      <c r="N283" s="205"/>
      <c r="O283" s="337" t="s">
        <v>29</v>
      </c>
    </row>
    <row r="284" spans="1:15" ht="16.2"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52" t="str">
        <f>IF(VLOOKUP(A284,'Aux - pivots1'!$A:$E,3,0)=0, "",VLOOKUP(A284,'Aux - pivots1'!$A:$E,3,0))</f>
        <v/>
      </c>
      <c r="K284" s="152" t="str">
        <f>IF(VLOOKUP(A284,'Aux - pivots1'!$A:$E,4,0)=0, "",VLOOKUP(A284,'Aux - pivots1'!$A:$E,4,0))</f>
        <v/>
      </c>
      <c r="L284" s="152" t="str">
        <f>IF(VLOOKUP(A284,'Aux - pivots1'!$A:$E,5,0)=0, "",VLOOKUP(A284,'Aux - pivots1'!$A:$E,5,0))</f>
        <v/>
      </c>
      <c r="M284" s="205"/>
      <c r="N284" s="205"/>
      <c r="O284" s="337" t="s">
        <v>29</v>
      </c>
    </row>
    <row r="285" spans="1:15" ht="16.2"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52" t="str">
        <f>IF(VLOOKUP(A285,'Aux - pivots1'!$A:$E,3,0)=0, "",VLOOKUP(A285,'Aux - pivots1'!$A:$E,3,0))</f>
        <v/>
      </c>
      <c r="K285" s="152" t="str">
        <f>IF(VLOOKUP(A285,'Aux - pivots1'!$A:$E,4,0)=0, "",VLOOKUP(A285,'Aux - pivots1'!$A:$E,4,0))</f>
        <v/>
      </c>
      <c r="L285" s="152" t="str">
        <f>IF(VLOOKUP(A285,'Aux - pivots1'!$A:$E,5,0)=0, "",VLOOKUP(A285,'Aux - pivots1'!$A:$E,5,0))</f>
        <v/>
      </c>
      <c r="M285" s="205"/>
      <c r="N285" s="205"/>
      <c r="O285" s="337" t="s">
        <v>29</v>
      </c>
    </row>
    <row r="286" spans="1:15" ht="16.2"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52" t="str">
        <f>IF(VLOOKUP(A286,'Aux - pivots1'!$A:$E,3,0)=0, "",VLOOKUP(A286,'Aux - pivots1'!$A:$E,3,0))</f>
        <v/>
      </c>
      <c r="K286" s="152" t="str">
        <f>IF(VLOOKUP(A286,'Aux - pivots1'!$A:$E,4,0)=0, "",VLOOKUP(A286,'Aux - pivots1'!$A:$E,4,0))</f>
        <v/>
      </c>
      <c r="L286" s="152" t="str">
        <f>IF(VLOOKUP(A286,'Aux - pivots1'!$A:$E,5,0)=0, "",VLOOKUP(A286,'Aux - pivots1'!$A:$E,5,0))</f>
        <v/>
      </c>
      <c r="M286" s="205"/>
      <c r="N286" s="205"/>
      <c r="O286" s="337" t="s">
        <v>29</v>
      </c>
    </row>
    <row r="287" spans="1:15" ht="16.2"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t="s">
        <v>652</v>
      </c>
      <c r="J287" s="152" t="str">
        <f>IF(VLOOKUP(A287,'Aux - pivots1'!$A:$E,3,0)=0, "",VLOOKUP(A287,'Aux - pivots1'!$A:$E,3,0))</f>
        <v/>
      </c>
      <c r="K287" s="152" t="str">
        <f>IF(VLOOKUP(A287,'Aux - pivots1'!$A:$E,4,0)=0, "",VLOOKUP(A287,'Aux - pivots1'!$A:$E,4,0))</f>
        <v/>
      </c>
      <c r="L287" s="152" t="str">
        <f>IF(VLOOKUP(A287,'Aux - pivots1'!$A:$E,5,0)=0, "",VLOOKUP(A287,'Aux - pivots1'!$A:$E,5,0))</f>
        <v/>
      </c>
      <c r="M287" s="205"/>
      <c r="N287" s="205"/>
      <c r="O287" s="337" t="s">
        <v>29</v>
      </c>
    </row>
    <row r="288" spans="1:15" ht="16.2"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52" t="str">
        <f>IF(VLOOKUP(A288,'Aux - pivots1'!$A:$E,3,0)=0, "",VLOOKUP(A288,'Aux - pivots1'!$A:$E,3,0))</f>
        <v/>
      </c>
      <c r="K288" s="152" t="str">
        <f>IF(VLOOKUP(A288,'Aux - pivots1'!$A:$E,4,0)=0, "",VLOOKUP(A288,'Aux - pivots1'!$A:$E,4,0))</f>
        <v/>
      </c>
      <c r="L288" s="152" t="str">
        <f>IF(VLOOKUP(A288,'Aux - pivots1'!$A:$E,5,0)=0, "",VLOOKUP(A288,'Aux - pivots1'!$A:$E,5,0))</f>
        <v/>
      </c>
      <c r="M288" s="205"/>
      <c r="N288" s="205"/>
      <c r="O288" s="337" t="s">
        <v>29</v>
      </c>
    </row>
    <row r="289" spans="1:15" ht="16.2"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2" t="str">
        <f>IF(VLOOKUP(A289,'Aux - pivots1'!$A:$E,3,0)=0, "",VLOOKUP(A289,'Aux - pivots1'!$A:$E,3,0))</f>
        <v/>
      </c>
      <c r="K289" s="152" t="str">
        <f>IF(VLOOKUP(A289,'Aux - pivots1'!$A:$E,4,0)=0, "",VLOOKUP(A289,'Aux - pivots1'!$A:$E,4,0))</f>
        <v/>
      </c>
      <c r="L289" s="152" t="str">
        <f>IF(VLOOKUP(A289,'Aux - pivots1'!$A:$E,5,0)=0, "",VLOOKUP(A289,'Aux - pivots1'!$A:$E,5,0))</f>
        <v/>
      </c>
      <c r="M289" s="205"/>
      <c r="N289" s="205"/>
      <c r="O289" s="337" t="s">
        <v>29</v>
      </c>
    </row>
    <row r="290" spans="1:15" ht="16.2"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2" t="str">
        <f>IF(VLOOKUP(A290,'Aux - pivots1'!$A:$E,3,0)=0, "",VLOOKUP(A290,'Aux - pivots1'!$A:$E,3,0))</f>
        <v/>
      </c>
      <c r="K290" s="152" t="str">
        <f>IF(VLOOKUP(A290,'Aux - pivots1'!$A:$E,4,0)=0, "",VLOOKUP(A290,'Aux - pivots1'!$A:$E,4,0))</f>
        <v/>
      </c>
      <c r="L290" s="152" t="str">
        <f>IF(VLOOKUP(A290,'Aux - pivots1'!$A:$E,5,0)=0, "",VLOOKUP(A290,'Aux - pivots1'!$A:$E,5,0))</f>
        <v/>
      </c>
      <c r="M290" s="205"/>
      <c r="N290" s="205"/>
      <c r="O290" s="337" t="s">
        <v>29</v>
      </c>
    </row>
    <row r="291" spans="1:15" ht="16.2"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2" t="str">
        <f>IF(VLOOKUP(A291,'Aux - pivots1'!$A:$E,3,0)=0, "",VLOOKUP(A291,'Aux - pivots1'!$A:$E,3,0))</f>
        <v/>
      </c>
      <c r="K291" s="152" t="str">
        <f>IF(VLOOKUP(A291,'Aux - pivots1'!$A:$E,4,0)=0, "",VLOOKUP(A291,'Aux - pivots1'!$A:$E,4,0))</f>
        <v/>
      </c>
      <c r="L291" s="152" t="str">
        <f>IF(VLOOKUP(A291,'Aux - pivots1'!$A:$E,5,0)=0, "",VLOOKUP(A291,'Aux - pivots1'!$A:$E,5,0))</f>
        <v/>
      </c>
      <c r="M291" s="205"/>
      <c r="N291" s="205"/>
      <c r="O291" s="337" t="s">
        <v>29</v>
      </c>
    </row>
    <row r="292" spans="1:15" ht="16.2"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2" t="str">
        <f>IF(VLOOKUP(A292,'Aux - pivots1'!$A:$E,3,0)=0, "",VLOOKUP(A292,'Aux - pivots1'!$A:$E,3,0))</f>
        <v/>
      </c>
      <c r="K292" s="152" t="str">
        <f>IF(VLOOKUP(A292,'Aux - pivots1'!$A:$E,4,0)=0, "",VLOOKUP(A292,'Aux - pivots1'!$A:$E,4,0))</f>
        <v/>
      </c>
      <c r="L292" s="152" t="str">
        <f>IF(VLOOKUP(A292,'Aux - pivots1'!$A:$E,5,0)=0, "",VLOOKUP(A292,'Aux - pivots1'!$A:$E,5,0))</f>
        <v/>
      </c>
      <c r="M292" s="205"/>
      <c r="N292" s="205"/>
      <c r="O292" s="337" t="s">
        <v>29</v>
      </c>
    </row>
    <row r="293" spans="1:15" ht="16.2"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2" t="str">
        <f>IF(VLOOKUP(A293,'Aux - pivots1'!$A:$E,3,0)=0, "",VLOOKUP(A293,'Aux - pivots1'!$A:$E,3,0))</f>
        <v/>
      </c>
      <c r="K293" s="152" t="str">
        <f>IF(VLOOKUP(A293,'Aux - pivots1'!$A:$E,4,0)=0, "",VLOOKUP(A293,'Aux - pivots1'!$A:$E,4,0))</f>
        <v/>
      </c>
      <c r="L293" s="152" t="str">
        <f>IF(VLOOKUP(A293,'Aux - pivots1'!$A:$E,5,0)=0, "",VLOOKUP(A293,'Aux - pivots1'!$A:$E,5,0))</f>
        <v/>
      </c>
      <c r="M293" s="205"/>
      <c r="N293" s="205"/>
      <c r="O293" s="337" t="s">
        <v>29</v>
      </c>
    </row>
    <row r="294" spans="1:15" ht="16.2"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2" t="str">
        <f>IF(VLOOKUP(A294,'Aux - pivots1'!$A:$E,3,0)=0, "",VLOOKUP(A294,'Aux - pivots1'!$A:$E,3,0))</f>
        <v/>
      </c>
      <c r="K294" s="152" t="str">
        <f>IF(VLOOKUP(A294,'Aux - pivots1'!$A:$E,4,0)=0, "",VLOOKUP(A294,'Aux - pivots1'!$A:$E,4,0))</f>
        <v/>
      </c>
      <c r="L294" s="152" t="str">
        <f>IF(VLOOKUP(A294,'Aux - pivots1'!$A:$E,5,0)=0, "",VLOOKUP(A294,'Aux - pivots1'!$A:$E,5,0))</f>
        <v/>
      </c>
      <c r="M294" s="205"/>
      <c r="N294" s="205"/>
      <c r="O294" s="337" t="s">
        <v>29</v>
      </c>
    </row>
    <row r="295" spans="1:15" ht="16.2"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2" t="str">
        <f>IF(VLOOKUP(A295,'Aux - pivots1'!$A:$E,3,0)=0, "",VLOOKUP(A295,'Aux - pivots1'!$A:$E,3,0))</f>
        <v/>
      </c>
      <c r="K295" s="152" t="str">
        <f>IF(VLOOKUP(A295,'Aux - pivots1'!$A:$E,4,0)=0, "",VLOOKUP(A295,'Aux - pivots1'!$A:$E,4,0))</f>
        <v/>
      </c>
      <c r="L295" s="152" t="str">
        <f>IF(VLOOKUP(A295,'Aux - pivots1'!$A:$E,5,0)=0, "",VLOOKUP(A295,'Aux - pivots1'!$A:$E,5,0))</f>
        <v/>
      </c>
      <c r="M295" s="205"/>
      <c r="N295" s="205"/>
      <c r="O295" s="337" t="s">
        <v>29</v>
      </c>
    </row>
    <row r="296" spans="1:15" ht="16.2"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52" t="str">
        <f>IF(VLOOKUP(A296,'Aux - pivots1'!$A:$E,3,0)=0, "",VLOOKUP(A296,'Aux - pivots1'!$A:$E,3,0))</f>
        <v/>
      </c>
      <c r="K296" s="152" t="str">
        <f>IF(VLOOKUP(A296,'Aux - pivots1'!$A:$E,4,0)=0, "",VLOOKUP(A296,'Aux - pivots1'!$A:$E,4,0))</f>
        <v/>
      </c>
      <c r="L296" s="152" t="str">
        <f>IF(VLOOKUP(A296,'Aux - pivots1'!$A:$E,5,0)=0, "",VLOOKUP(A296,'Aux - pivots1'!$A:$E,5,0))</f>
        <v/>
      </c>
      <c r="M296" s="205"/>
      <c r="N296" s="205"/>
      <c r="O296" s="337" t="s">
        <v>29</v>
      </c>
    </row>
    <row r="297" spans="1:15" ht="16.2"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52" t="str">
        <f>IF(VLOOKUP(A297,'Aux - pivots1'!$A:$E,3,0)=0, "",VLOOKUP(A297,'Aux - pivots1'!$A:$E,3,0))</f>
        <v/>
      </c>
      <c r="K297" s="152" t="str">
        <f>IF(VLOOKUP(A297,'Aux - pivots1'!$A:$E,4,0)=0, "",VLOOKUP(A297,'Aux - pivots1'!$A:$E,4,0))</f>
        <v/>
      </c>
      <c r="L297" s="152" t="str">
        <f>IF(VLOOKUP(A297,'Aux - pivots1'!$A:$E,5,0)=0, "",VLOOKUP(A297,'Aux - pivots1'!$A:$E,5,0))</f>
        <v/>
      </c>
      <c r="M297" s="205"/>
      <c r="N297" s="205"/>
      <c r="O297" s="337" t="s">
        <v>29</v>
      </c>
    </row>
    <row r="298" spans="1:15" ht="16.2"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52" t="str">
        <f>IF(VLOOKUP(A298,'Aux - pivots1'!$A:$E,3,0)=0, "",VLOOKUP(A298,'Aux - pivots1'!$A:$E,3,0))</f>
        <v/>
      </c>
      <c r="K298" s="152" t="str">
        <f>IF(VLOOKUP(A298,'Aux - pivots1'!$A:$E,4,0)=0, "",VLOOKUP(A298,'Aux - pivots1'!$A:$E,4,0))</f>
        <v/>
      </c>
      <c r="L298" s="152" t="str">
        <f>IF(VLOOKUP(A298,'Aux - pivots1'!$A:$E,5,0)=0, "",VLOOKUP(A298,'Aux - pivots1'!$A:$E,5,0))</f>
        <v/>
      </c>
      <c r="M298" s="205"/>
      <c r="N298" s="205"/>
      <c r="O298" s="337" t="s">
        <v>29</v>
      </c>
    </row>
    <row r="299" spans="1:15" ht="16.2"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52" t="str">
        <f>IF(VLOOKUP(A299,'Aux - pivots1'!$A:$E,3,0)=0, "",VLOOKUP(A299,'Aux - pivots1'!$A:$E,3,0))</f>
        <v/>
      </c>
      <c r="K299" s="152" t="str">
        <f>IF(VLOOKUP(A299,'Aux - pivots1'!$A:$E,4,0)=0, "",VLOOKUP(A299,'Aux - pivots1'!$A:$E,4,0))</f>
        <v/>
      </c>
      <c r="L299" s="152" t="str">
        <f>IF(VLOOKUP(A299,'Aux - pivots1'!$A:$E,5,0)=0, "",VLOOKUP(A299,'Aux - pivots1'!$A:$E,5,0))</f>
        <v/>
      </c>
      <c r="M299" s="205"/>
      <c r="N299" s="205"/>
      <c r="O299" s="337" t="s">
        <v>29</v>
      </c>
    </row>
    <row r="300" spans="1:15" ht="16.2"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52" t="str">
        <f>IF(VLOOKUP(A300,'Aux - pivots1'!$A:$E,3,0)=0, "",VLOOKUP(A300,'Aux - pivots1'!$A:$E,3,0))</f>
        <v/>
      </c>
      <c r="K300" s="152" t="str">
        <f>IF(VLOOKUP(A300,'Aux - pivots1'!$A:$E,4,0)=0, "",VLOOKUP(A300,'Aux - pivots1'!$A:$E,4,0))</f>
        <v/>
      </c>
      <c r="L300" s="152" t="str">
        <f>IF(VLOOKUP(A300,'Aux - pivots1'!$A:$E,5,0)=0, "",VLOOKUP(A300,'Aux - pivots1'!$A:$E,5,0))</f>
        <v/>
      </c>
      <c r="M300" s="205"/>
      <c r="N300" s="205"/>
      <c r="O300" s="337" t="s">
        <v>29</v>
      </c>
    </row>
    <row r="301" spans="1:15" ht="16.2"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t="s">
        <v>652</v>
      </c>
      <c r="J301" s="152" t="str">
        <f>IF(VLOOKUP(A301,'Aux - pivots1'!$A:$E,3,0)=0, "",VLOOKUP(A301,'Aux - pivots1'!$A:$E,3,0))</f>
        <v/>
      </c>
      <c r="K301" s="152" t="str">
        <f>IF(VLOOKUP(A301,'Aux - pivots1'!$A:$E,4,0)=0, "",VLOOKUP(A301,'Aux - pivots1'!$A:$E,4,0))</f>
        <v/>
      </c>
      <c r="L301" s="152" t="str">
        <f>IF(VLOOKUP(A301,'Aux - pivots1'!$A:$E,5,0)=0, "",VLOOKUP(A301,'Aux - pivots1'!$A:$E,5,0))</f>
        <v/>
      </c>
      <c r="M301" s="205"/>
      <c r="N301" s="205"/>
      <c r="O301" s="337" t="s">
        <v>29</v>
      </c>
    </row>
    <row r="302" spans="1:15" ht="16.2"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52" t="str">
        <f>IF(VLOOKUP(A302,'Aux - pivots1'!$A:$E,3,0)=0, "",VLOOKUP(A302,'Aux - pivots1'!$A:$E,3,0))</f>
        <v/>
      </c>
      <c r="K302" s="152" t="str">
        <f>IF(VLOOKUP(A302,'Aux - pivots1'!$A:$E,4,0)=0, "",VLOOKUP(A302,'Aux - pivots1'!$A:$E,4,0))</f>
        <v/>
      </c>
      <c r="L302" s="152" t="str">
        <f>IF(VLOOKUP(A302,'Aux - pivots1'!$A:$E,5,0)=0, "",VLOOKUP(A302,'Aux - pivots1'!$A:$E,5,0))</f>
        <v/>
      </c>
      <c r="M302" s="205"/>
      <c r="N302" s="205"/>
      <c r="O302" s="337" t="s">
        <v>29</v>
      </c>
    </row>
    <row r="303" spans="1:15" ht="16.2"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52" t="str">
        <f>IF(VLOOKUP(A303,'Aux - pivots1'!$A:$E,3,0)=0, "",VLOOKUP(A303,'Aux - pivots1'!$A:$E,3,0))</f>
        <v/>
      </c>
      <c r="K303" s="152" t="str">
        <f>IF(VLOOKUP(A303,'Aux - pivots1'!$A:$E,4,0)=0, "",VLOOKUP(A303,'Aux - pivots1'!$A:$E,4,0))</f>
        <v/>
      </c>
      <c r="L303" s="152" t="str">
        <f>IF(VLOOKUP(A303,'Aux - pivots1'!$A:$E,5,0)=0, "",VLOOKUP(A303,'Aux - pivots1'!$A:$E,5,0))</f>
        <v/>
      </c>
      <c r="M303" s="205"/>
      <c r="N303" s="205"/>
      <c r="O303" s="337" t="s">
        <v>29</v>
      </c>
    </row>
    <row r="304" spans="1:15" ht="16.2"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52" t="str">
        <f>IF(VLOOKUP(A304,'Aux - pivots1'!$A:$E,3,0)=0, "",VLOOKUP(A304,'Aux - pivots1'!$A:$E,3,0))</f>
        <v/>
      </c>
      <c r="K304" s="152" t="str">
        <f>IF(VLOOKUP(A304,'Aux - pivots1'!$A:$E,4,0)=0, "",VLOOKUP(A304,'Aux - pivots1'!$A:$E,4,0))</f>
        <v/>
      </c>
      <c r="L304" s="152" t="str">
        <f>IF(VLOOKUP(A304,'Aux - pivots1'!$A:$E,5,0)=0, "",VLOOKUP(A304,'Aux - pivots1'!$A:$E,5,0))</f>
        <v/>
      </c>
      <c r="M304" s="205"/>
      <c r="N304" s="205"/>
      <c r="O304" s="337" t="s">
        <v>29</v>
      </c>
    </row>
    <row r="305" spans="1:15" ht="16.2"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52" t="str">
        <f>IF(VLOOKUP(A305,'Aux - pivots1'!$A:$E,3,0)=0, "",VLOOKUP(A305,'Aux - pivots1'!$A:$E,3,0))</f>
        <v/>
      </c>
      <c r="K305" s="152" t="str">
        <f>IF(VLOOKUP(A305,'Aux - pivots1'!$A:$E,4,0)=0, "",VLOOKUP(A305,'Aux - pivots1'!$A:$E,4,0))</f>
        <v/>
      </c>
      <c r="L305" s="152" t="str">
        <f>IF(VLOOKUP(A305,'Aux - pivots1'!$A:$E,5,0)=0, "",VLOOKUP(A305,'Aux - pivots1'!$A:$E,5,0))</f>
        <v/>
      </c>
      <c r="M305" s="205"/>
      <c r="N305" s="205"/>
      <c r="O305" s="337" t="s">
        <v>29</v>
      </c>
    </row>
    <row r="306" spans="1:15" ht="16.2"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52" t="str">
        <f>IF(VLOOKUP(A306,'Aux - pivots1'!$A:$E,3,0)=0, "",VLOOKUP(A306,'Aux - pivots1'!$A:$E,3,0))</f>
        <v/>
      </c>
      <c r="K306" s="152" t="str">
        <f>IF(VLOOKUP(A306,'Aux - pivots1'!$A:$E,4,0)=0, "",VLOOKUP(A306,'Aux - pivots1'!$A:$E,4,0))</f>
        <v/>
      </c>
      <c r="L306" s="152" t="str">
        <f>IF(VLOOKUP(A306,'Aux - pivots1'!$A:$E,5,0)=0, "",VLOOKUP(A306,'Aux - pivots1'!$A:$E,5,0))</f>
        <v/>
      </c>
      <c r="M306" s="205"/>
      <c r="N306" s="205"/>
      <c r="O306" s="337" t="s">
        <v>29</v>
      </c>
    </row>
    <row r="307" spans="1:15" ht="16.2"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52" t="str">
        <f>IF(VLOOKUP(A307,'Aux - pivots1'!$A:$E,3,0)=0, "",VLOOKUP(A307,'Aux - pivots1'!$A:$E,3,0))</f>
        <v/>
      </c>
      <c r="K307" s="152" t="str">
        <f>IF(VLOOKUP(A307,'Aux - pivots1'!$A:$E,4,0)=0, "",VLOOKUP(A307,'Aux - pivots1'!$A:$E,4,0))</f>
        <v/>
      </c>
      <c r="L307" s="152" t="str">
        <f>IF(VLOOKUP(A307,'Aux - pivots1'!$A:$E,5,0)=0, "",VLOOKUP(A307,'Aux - pivots1'!$A:$E,5,0))</f>
        <v/>
      </c>
      <c r="M307" s="205"/>
      <c r="N307" s="205"/>
      <c r="O307" s="337" t="s">
        <v>29</v>
      </c>
    </row>
    <row r="308" spans="1:15" ht="16.2"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52" t="str">
        <f>IF(VLOOKUP(A308,'Aux - pivots1'!$A:$E,3,0)=0, "",VLOOKUP(A308,'Aux - pivots1'!$A:$E,3,0))</f>
        <v/>
      </c>
      <c r="K308" s="152" t="str">
        <f>IF(VLOOKUP(A308,'Aux - pivots1'!$A:$E,4,0)=0, "",VLOOKUP(A308,'Aux - pivots1'!$A:$E,4,0))</f>
        <v/>
      </c>
      <c r="L308" s="152" t="str">
        <f>IF(VLOOKUP(A308,'Aux - pivots1'!$A:$E,5,0)=0, "",VLOOKUP(A308,'Aux - pivots1'!$A:$E,5,0))</f>
        <v/>
      </c>
      <c r="M308" s="205"/>
      <c r="N308" s="205"/>
      <c r="O308" s="337" t="s">
        <v>29</v>
      </c>
    </row>
    <row r="309" spans="1:15" ht="16.2"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52" t="str">
        <f>IF(VLOOKUP(A309,'Aux - pivots1'!$A:$E,3,0)=0, "",VLOOKUP(A309,'Aux - pivots1'!$A:$E,3,0))</f>
        <v/>
      </c>
      <c r="K309" s="152" t="str">
        <f>IF(VLOOKUP(A309,'Aux - pivots1'!$A:$E,4,0)=0, "",VLOOKUP(A309,'Aux - pivots1'!$A:$E,4,0))</f>
        <v/>
      </c>
      <c r="L309" s="152" t="str">
        <f>IF(VLOOKUP(A309,'Aux - pivots1'!$A:$E,5,0)=0, "",VLOOKUP(A309,'Aux - pivots1'!$A:$E,5,0))</f>
        <v/>
      </c>
      <c r="M309" s="205"/>
      <c r="N309" s="205"/>
      <c r="O309" s="337" t="s">
        <v>29</v>
      </c>
    </row>
    <row r="310" spans="1:15" ht="16.2"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52" t="str">
        <f>IF(VLOOKUP(A310,'Aux - pivots1'!$A:$E,3,0)=0, "",VLOOKUP(A310,'Aux - pivots1'!$A:$E,3,0))</f>
        <v/>
      </c>
      <c r="K310" s="152" t="str">
        <f>IF(VLOOKUP(A310,'Aux - pivots1'!$A:$E,4,0)=0, "",VLOOKUP(A310,'Aux - pivots1'!$A:$E,4,0))</f>
        <v/>
      </c>
      <c r="L310" s="152" t="str">
        <f>IF(VLOOKUP(A310,'Aux - pivots1'!$A:$E,5,0)=0, "",VLOOKUP(A310,'Aux - pivots1'!$A:$E,5,0))</f>
        <v/>
      </c>
      <c r="M310" s="205"/>
      <c r="N310" s="205"/>
      <c r="O310" s="337" t="s">
        <v>29</v>
      </c>
    </row>
    <row r="311" spans="1:15" ht="16.2"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52" t="str">
        <f>IF(VLOOKUP(A311,'Aux - pivots1'!$A:$E,3,0)=0, "",VLOOKUP(A311,'Aux - pivots1'!$A:$E,3,0))</f>
        <v/>
      </c>
      <c r="K311" s="152" t="str">
        <f>IF(VLOOKUP(A311,'Aux - pivots1'!$A:$E,4,0)=0, "",VLOOKUP(A311,'Aux - pivots1'!$A:$E,4,0))</f>
        <v/>
      </c>
      <c r="L311" s="152" t="str">
        <f>IF(VLOOKUP(A311,'Aux - pivots1'!$A:$E,5,0)=0, "",VLOOKUP(A311,'Aux - pivots1'!$A:$E,5,0))</f>
        <v/>
      </c>
      <c r="M311" s="205"/>
      <c r="N311" s="205"/>
      <c r="O311" s="337" t="s">
        <v>29</v>
      </c>
    </row>
    <row r="312" spans="1:15" ht="16.2"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52" t="str">
        <f>IF(VLOOKUP(A312,'Aux - pivots1'!$A:$E,3,0)=0, "",VLOOKUP(A312,'Aux - pivots1'!$A:$E,3,0))</f>
        <v/>
      </c>
      <c r="K312" s="152" t="str">
        <f>IF(VLOOKUP(A312,'Aux - pivots1'!$A:$E,4,0)=0, "",VLOOKUP(A312,'Aux - pivots1'!$A:$E,4,0))</f>
        <v/>
      </c>
      <c r="L312" s="152" t="str">
        <f>IF(VLOOKUP(A312,'Aux - pivots1'!$A:$E,5,0)=0, "",VLOOKUP(A312,'Aux - pivots1'!$A:$E,5,0))</f>
        <v/>
      </c>
      <c r="M312" s="205"/>
      <c r="N312" s="205"/>
      <c r="O312" s="337" t="s">
        <v>29</v>
      </c>
    </row>
    <row r="313" spans="1:15" ht="16.2"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52" t="str">
        <f>IF(VLOOKUP(A313,'Aux - pivots1'!$A:$E,3,0)=0, "",VLOOKUP(A313,'Aux - pivots1'!$A:$E,3,0))</f>
        <v/>
      </c>
      <c r="K313" s="152" t="str">
        <f>IF(VLOOKUP(A313,'Aux - pivots1'!$A:$E,4,0)=0, "",VLOOKUP(A313,'Aux - pivots1'!$A:$E,4,0))</f>
        <v/>
      </c>
      <c r="L313" s="152" t="str">
        <f>IF(VLOOKUP(A313,'Aux - pivots1'!$A:$E,5,0)=0, "",VLOOKUP(A313,'Aux - pivots1'!$A:$E,5,0))</f>
        <v/>
      </c>
      <c r="M313" s="205"/>
      <c r="N313" s="205"/>
      <c r="O313" s="337" t="s">
        <v>29</v>
      </c>
    </row>
    <row r="314" spans="1:15" ht="16.2"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52" t="str">
        <f>IF(VLOOKUP(A314,'Aux - pivots1'!$A:$E,3,0)=0, "",VLOOKUP(A314,'Aux - pivots1'!$A:$E,3,0))</f>
        <v/>
      </c>
      <c r="K314" s="152" t="str">
        <f>IF(VLOOKUP(A314,'Aux - pivots1'!$A:$E,4,0)=0, "",VLOOKUP(A314,'Aux - pivots1'!$A:$E,4,0))</f>
        <v/>
      </c>
      <c r="L314" s="152" t="str">
        <f>IF(VLOOKUP(A314,'Aux - pivots1'!$A:$E,5,0)=0, "",VLOOKUP(A314,'Aux - pivots1'!$A:$E,5,0))</f>
        <v/>
      </c>
      <c r="M314" s="205"/>
      <c r="N314" s="205"/>
      <c r="O314" s="337" t="s">
        <v>29</v>
      </c>
    </row>
    <row r="315" spans="1:15" ht="16.2"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52" t="str">
        <f>IF(VLOOKUP(A315,'Aux - pivots1'!$A:$E,3,0)=0, "",VLOOKUP(A315,'Aux - pivots1'!$A:$E,3,0))</f>
        <v/>
      </c>
      <c r="K315" s="152" t="str">
        <f>IF(VLOOKUP(A315,'Aux - pivots1'!$A:$E,4,0)=0, "",VLOOKUP(A315,'Aux - pivots1'!$A:$E,4,0))</f>
        <v/>
      </c>
      <c r="L315" s="152" t="str">
        <f>IF(VLOOKUP(A315,'Aux - pivots1'!$A:$E,5,0)=0, "",VLOOKUP(A315,'Aux - pivots1'!$A:$E,5,0))</f>
        <v/>
      </c>
      <c r="M315" s="205"/>
      <c r="N315" s="205"/>
      <c r="O315" s="337" t="s">
        <v>29</v>
      </c>
    </row>
    <row r="316" spans="1:15" ht="16.2"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52" t="str">
        <f>IF(VLOOKUP(A316,'Aux - pivots1'!$A:$E,3,0)=0, "",VLOOKUP(A316,'Aux - pivots1'!$A:$E,3,0))</f>
        <v/>
      </c>
      <c r="K316" s="152" t="str">
        <f>IF(VLOOKUP(A316,'Aux - pivots1'!$A:$E,4,0)=0, "",VLOOKUP(A316,'Aux - pivots1'!$A:$E,4,0))</f>
        <v/>
      </c>
      <c r="L316" s="152" t="str">
        <f>IF(VLOOKUP(A316,'Aux - pivots1'!$A:$E,5,0)=0, "",VLOOKUP(A316,'Aux - pivots1'!$A:$E,5,0))</f>
        <v/>
      </c>
      <c r="M316" s="205"/>
      <c r="N316" s="205"/>
      <c r="O316" s="337" t="s">
        <v>29</v>
      </c>
    </row>
    <row r="317" spans="1:15" ht="16.2"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t="s">
        <v>652</v>
      </c>
      <c r="J317" s="152" t="str">
        <f>IF(VLOOKUP(A317,'Aux - pivots1'!$A:$E,3,0)=0, "",VLOOKUP(A317,'Aux - pivots1'!$A:$E,3,0))</f>
        <v/>
      </c>
      <c r="K317" s="152" t="str">
        <f>IF(VLOOKUP(A317,'Aux - pivots1'!$A:$E,4,0)=0, "",VLOOKUP(A317,'Aux - pivots1'!$A:$E,4,0))</f>
        <v/>
      </c>
      <c r="L317" s="152" t="str">
        <f>IF(VLOOKUP(A317,'Aux - pivots1'!$A:$E,5,0)=0, "",VLOOKUP(A317,'Aux - pivots1'!$A:$E,5,0))</f>
        <v/>
      </c>
      <c r="M317" s="205"/>
      <c r="N317" s="205"/>
      <c r="O317" s="337" t="s">
        <v>29</v>
      </c>
    </row>
    <row r="318" spans="1:15" ht="16.2"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t="s">
        <v>652</v>
      </c>
      <c r="J318" s="152" t="str">
        <f>IF(VLOOKUP(A318,'Aux - pivots1'!$A:$E,3,0)=0, "",VLOOKUP(A318,'Aux - pivots1'!$A:$E,3,0))</f>
        <v/>
      </c>
      <c r="K318" s="152" t="str">
        <f>IF(VLOOKUP(A318,'Aux - pivots1'!$A:$E,4,0)=0, "",VLOOKUP(A318,'Aux - pivots1'!$A:$E,4,0))</f>
        <v/>
      </c>
      <c r="L318" s="152" t="str">
        <f>IF(VLOOKUP(A318,'Aux - pivots1'!$A:$E,5,0)=0, "",VLOOKUP(A318,'Aux - pivots1'!$A:$E,5,0))</f>
        <v/>
      </c>
      <c r="M318" s="205"/>
      <c r="N318" s="205"/>
      <c r="O318" s="337" t="s">
        <v>29</v>
      </c>
    </row>
    <row r="319" spans="1:15" ht="16.2"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t="s">
        <v>652</v>
      </c>
      <c r="J319" s="152" t="str">
        <f>IF(VLOOKUP(A319,'Aux - pivots1'!$A:$E,3,0)=0, "",VLOOKUP(A319,'Aux - pivots1'!$A:$E,3,0))</f>
        <v/>
      </c>
      <c r="K319" s="152" t="str">
        <f>IF(VLOOKUP(A319,'Aux - pivots1'!$A:$E,4,0)=0, "",VLOOKUP(A319,'Aux - pivots1'!$A:$E,4,0))</f>
        <v/>
      </c>
      <c r="L319" s="152" t="str">
        <f>IF(VLOOKUP(A319,'Aux - pivots1'!$A:$E,5,0)=0, "",VLOOKUP(A319,'Aux - pivots1'!$A:$E,5,0))</f>
        <v/>
      </c>
      <c r="M319" s="205"/>
      <c r="N319" s="205"/>
      <c r="O319" s="337" t="s">
        <v>29</v>
      </c>
    </row>
    <row r="320" spans="1:15" ht="16.2"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t="s">
        <v>652</v>
      </c>
      <c r="J320" s="152" t="str">
        <f>IF(VLOOKUP(A320,'Aux - pivots1'!$A:$E,3,0)=0, "",VLOOKUP(A320,'Aux - pivots1'!$A:$E,3,0))</f>
        <v/>
      </c>
      <c r="K320" s="152" t="str">
        <f>IF(VLOOKUP(A320,'Aux - pivots1'!$A:$E,4,0)=0, "",VLOOKUP(A320,'Aux - pivots1'!$A:$E,4,0))</f>
        <v/>
      </c>
      <c r="L320" s="152" t="str">
        <f>IF(VLOOKUP(A320,'Aux - pivots1'!$A:$E,5,0)=0, "",VLOOKUP(A320,'Aux - pivots1'!$A:$E,5,0))</f>
        <v/>
      </c>
      <c r="M320" s="205"/>
      <c r="N320" s="205"/>
      <c r="O320" s="337" t="s">
        <v>29</v>
      </c>
    </row>
    <row r="321" spans="1:15" ht="16.2"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t="s">
        <v>652</v>
      </c>
      <c r="J321" s="152" t="str">
        <f>IF(VLOOKUP(A321,'Aux - pivots1'!$A:$E,3,0)=0, "",VLOOKUP(A321,'Aux - pivots1'!$A:$E,3,0))</f>
        <v/>
      </c>
      <c r="K321" s="152" t="str">
        <f>IF(VLOOKUP(A321,'Aux - pivots1'!$A:$E,4,0)=0, "",VLOOKUP(A321,'Aux - pivots1'!$A:$E,4,0))</f>
        <v/>
      </c>
      <c r="L321" s="152" t="str">
        <f>IF(VLOOKUP(A321,'Aux - pivots1'!$A:$E,5,0)=0, "",VLOOKUP(A321,'Aux - pivots1'!$A:$E,5,0))</f>
        <v/>
      </c>
      <c r="M321" s="205"/>
      <c r="N321" s="205"/>
      <c r="O321" s="337" t="s">
        <v>29</v>
      </c>
    </row>
    <row r="322" spans="1:15" ht="16.2"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t="s">
        <v>652</v>
      </c>
      <c r="J322" s="152" t="str">
        <f>IF(VLOOKUP(A322,'Aux - pivots1'!$A:$E,3,0)=0, "",VLOOKUP(A322,'Aux - pivots1'!$A:$E,3,0))</f>
        <v/>
      </c>
      <c r="K322" s="152" t="str">
        <f>IF(VLOOKUP(A322,'Aux - pivots1'!$A:$E,4,0)=0, "",VLOOKUP(A322,'Aux - pivots1'!$A:$E,4,0))</f>
        <v/>
      </c>
      <c r="L322" s="152" t="str">
        <f>IF(VLOOKUP(A322,'Aux - pivots1'!$A:$E,5,0)=0, "",VLOOKUP(A322,'Aux - pivots1'!$A:$E,5,0))</f>
        <v/>
      </c>
      <c r="M322" s="205"/>
      <c r="N322" s="205"/>
      <c r="O322" s="337" t="s">
        <v>29</v>
      </c>
    </row>
    <row r="323" spans="1:15" ht="16.2"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t="s">
        <v>652</v>
      </c>
      <c r="J323" s="152" t="str">
        <f>IF(VLOOKUP(A323,'Aux - pivots1'!$A:$E,3,0)=0, "",VLOOKUP(A323,'Aux - pivots1'!$A:$E,3,0))</f>
        <v/>
      </c>
      <c r="K323" s="152" t="str">
        <f>IF(VLOOKUP(A323,'Aux - pivots1'!$A:$E,4,0)=0, "",VLOOKUP(A323,'Aux - pivots1'!$A:$E,4,0))</f>
        <v/>
      </c>
      <c r="L323" s="152" t="str">
        <f>IF(VLOOKUP(A323,'Aux - pivots1'!$A:$E,5,0)=0, "",VLOOKUP(A323,'Aux - pivots1'!$A:$E,5,0))</f>
        <v/>
      </c>
      <c r="M323" s="205"/>
      <c r="N323" s="205"/>
      <c r="O323" s="337" t="s">
        <v>29</v>
      </c>
    </row>
    <row r="324" spans="1:15" ht="16.2"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t="s">
        <v>652</v>
      </c>
      <c r="J324" s="152" t="str">
        <f>IF(VLOOKUP(A324,'Aux - pivots1'!$A:$E,3,0)=0, "",VLOOKUP(A324,'Aux - pivots1'!$A:$E,3,0))</f>
        <v/>
      </c>
      <c r="K324" s="152" t="str">
        <f>IF(VLOOKUP(A324,'Aux - pivots1'!$A:$E,4,0)=0, "",VLOOKUP(A324,'Aux - pivots1'!$A:$E,4,0))</f>
        <v/>
      </c>
      <c r="L324" s="152" t="str">
        <f>IF(VLOOKUP(A324,'Aux - pivots1'!$A:$E,5,0)=0, "",VLOOKUP(A324,'Aux - pivots1'!$A:$E,5,0))</f>
        <v/>
      </c>
      <c r="M324" s="205"/>
      <c r="N324" s="205"/>
      <c r="O324" s="337" t="s">
        <v>29</v>
      </c>
    </row>
    <row r="325" spans="1:15" ht="16.2"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t="s">
        <v>652</v>
      </c>
      <c r="J325" s="152" t="str">
        <f>IF(VLOOKUP(A325,'Aux - pivots1'!$A:$E,3,0)=0, "",VLOOKUP(A325,'Aux - pivots1'!$A:$E,3,0))</f>
        <v/>
      </c>
      <c r="K325" s="152" t="str">
        <f>IF(VLOOKUP(A325,'Aux - pivots1'!$A:$E,4,0)=0, "",VLOOKUP(A325,'Aux - pivots1'!$A:$E,4,0))</f>
        <v/>
      </c>
      <c r="L325" s="152" t="str">
        <f>IF(VLOOKUP(A325,'Aux - pivots1'!$A:$E,5,0)=0, "",VLOOKUP(A325,'Aux - pivots1'!$A:$E,5,0))</f>
        <v/>
      </c>
      <c r="M325" s="205"/>
      <c r="N325" s="205"/>
      <c r="O325" s="337" t="s">
        <v>29</v>
      </c>
    </row>
    <row r="326" spans="1:15" ht="16.2"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t="s">
        <v>652</v>
      </c>
      <c r="J326" s="152" t="str">
        <f>IF(VLOOKUP(A326,'Aux - pivots1'!$A:$E,3,0)=0, "",VLOOKUP(A326,'Aux - pivots1'!$A:$E,3,0))</f>
        <v/>
      </c>
      <c r="K326" s="152" t="str">
        <f>IF(VLOOKUP(A326,'Aux - pivots1'!$A:$E,4,0)=0, "",VLOOKUP(A326,'Aux - pivots1'!$A:$E,4,0))</f>
        <v/>
      </c>
      <c r="L326" s="152" t="str">
        <f>IF(VLOOKUP(A326,'Aux - pivots1'!$A:$E,5,0)=0, "",VLOOKUP(A326,'Aux - pivots1'!$A:$E,5,0))</f>
        <v/>
      </c>
      <c r="M326" s="205"/>
      <c r="N326" s="205"/>
      <c r="O326" s="337" t="s">
        <v>29</v>
      </c>
    </row>
    <row r="327" spans="1:15" ht="16.2"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t="s">
        <v>652</v>
      </c>
      <c r="J327" s="152" t="str">
        <f>IF(VLOOKUP(A327,'Aux - pivots1'!$A:$E,3,0)=0, "",VLOOKUP(A327,'Aux - pivots1'!$A:$E,3,0))</f>
        <v/>
      </c>
      <c r="K327" s="152" t="str">
        <f>IF(VLOOKUP(A327,'Aux - pivots1'!$A:$E,4,0)=0, "",VLOOKUP(A327,'Aux - pivots1'!$A:$E,4,0))</f>
        <v/>
      </c>
      <c r="L327" s="152" t="str">
        <f>IF(VLOOKUP(A327,'Aux - pivots1'!$A:$E,5,0)=0, "",VLOOKUP(A327,'Aux - pivots1'!$A:$E,5,0))</f>
        <v/>
      </c>
      <c r="M327" s="205"/>
      <c r="N327" s="205"/>
      <c r="O327" s="337" t="s">
        <v>29</v>
      </c>
    </row>
    <row r="328" spans="1:15" ht="16.2"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t="s">
        <v>652</v>
      </c>
      <c r="J328" s="152" t="str">
        <f>IF(VLOOKUP(A328,'Aux - pivots1'!$A:$E,3,0)=0, "",VLOOKUP(A328,'Aux - pivots1'!$A:$E,3,0))</f>
        <v/>
      </c>
      <c r="K328" s="152" t="str">
        <f>IF(VLOOKUP(A328,'Aux - pivots1'!$A:$E,4,0)=0, "",VLOOKUP(A328,'Aux - pivots1'!$A:$E,4,0))</f>
        <v/>
      </c>
      <c r="L328" s="152" t="str">
        <f>IF(VLOOKUP(A328,'Aux - pivots1'!$A:$E,5,0)=0, "",VLOOKUP(A328,'Aux - pivots1'!$A:$E,5,0))</f>
        <v/>
      </c>
      <c r="M328" s="205"/>
      <c r="N328" s="205"/>
      <c r="O328" s="337" t="s">
        <v>29</v>
      </c>
    </row>
    <row r="329" spans="1:15" ht="16.2"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t="s">
        <v>652</v>
      </c>
      <c r="J329" s="152" t="str">
        <f>IF(VLOOKUP(A329,'Aux - pivots1'!$A:$E,3,0)=0, "",VLOOKUP(A329,'Aux - pivots1'!$A:$E,3,0))</f>
        <v/>
      </c>
      <c r="K329" s="152" t="str">
        <f>IF(VLOOKUP(A329,'Aux - pivots1'!$A:$E,4,0)=0, "",VLOOKUP(A329,'Aux - pivots1'!$A:$E,4,0))</f>
        <v/>
      </c>
      <c r="L329" s="152" t="str">
        <f>IF(VLOOKUP(A329,'Aux - pivots1'!$A:$E,5,0)=0, "",VLOOKUP(A329,'Aux - pivots1'!$A:$E,5,0))</f>
        <v/>
      </c>
      <c r="M329" s="205"/>
      <c r="N329" s="205"/>
      <c r="O329" s="337" t="s">
        <v>29</v>
      </c>
    </row>
    <row r="330" spans="1:15" ht="16.2"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t="s">
        <v>652</v>
      </c>
      <c r="J330" s="152" t="str">
        <f>IF(VLOOKUP(A330,'Aux - pivots1'!$A:$E,3,0)=0, "",VLOOKUP(A330,'Aux - pivots1'!$A:$E,3,0))</f>
        <v/>
      </c>
      <c r="K330" s="152" t="str">
        <f>IF(VLOOKUP(A330,'Aux - pivots1'!$A:$E,4,0)=0, "",VLOOKUP(A330,'Aux - pivots1'!$A:$E,4,0))</f>
        <v/>
      </c>
      <c r="L330" s="152" t="str">
        <f>IF(VLOOKUP(A330,'Aux - pivots1'!$A:$E,5,0)=0, "",VLOOKUP(A330,'Aux - pivots1'!$A:$E,5,0))</f>
        <v/>
      </c>
      <c r="M330" s="205"/>
      <c r="N330" s="205"/>
      <c r="O330" s="337" t="s">
        <v>29</v>
      </c>
    </row>
    <row r="331" spans="1:15" ht="16.2"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t="s">
        <v>652</v>
      </c>
      <c r="J331" s="152" t="str">
        <f>IF(VLOOKUP(A331,'Aux - pivots1'!$A:$E,3,0)=0, "",VLOOKUP(A331,'Aux - pivots1'!$A:$E,3,0))</f>
        <v/>
      </c>
      <c r="K331" s="152" t="str">
        <f>IF(VLOOKUP(A331,'Aux - pivots1'!$A:$E,4,0)=0, "",VLOOKUP(A331,'Aux - pivots1'!$A:$E,4,0))</f>
        <v/>
      </c>
      <c r="L331" s="152" t="str">
        <f>IF(VLOOKUP(A331,'Aux - pivots1'!$A:$E,5,0)=0, "",VLOOKUP(A331,'Aux - pivots1'!$A:$E,5,0))</f>
        <v/>
      </c>
      <c r="M331" s="205"/>
      <c r="N331" s="205"/>
      <c r="O331" s="337" t="s">
        <v>29</v>
      </c>
    </row>
    <row r="332" spans="1:15" ht="16.2"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t="s">
        <v>652</v>
      </c>
      <c r="J332" s="152" t="str">
        <f>IF(VLOOKUP(A332,'Aux - pivots1'!$A:$E,3,0)=0, "",VLOOKUP(A332,'Aux - pivots1'!$A:$E,3,0))</f>
        <v/>
      </c>
      <c r="K332" s="152" t="str">
        <f>IF(VLOOKUP(A332,'Aux - pivots1'!$A:$E,4,0)=0, "",VLOOKUP(A332,'Aux - pivots1'!$A:$E,4,0))</f>
        <v/>
      </c>
      <c r="L332" s="152" t="str">
        <f>IF(VLOOKUP(A332,'Aux - pivots1'!$A:$E,5,0)=0, "",VLOOKUP(A332,'Aux - pivots1'!$A:$E,5,0))</f>
        <v/>
      </c>
      <c r="M332" s="205"/>
      <c r="N332" s="205"/>
      <c r="O332" s="337" t="s">
        <v>29</v>
      </c>
    </row>
    <row r="333" spans="1:15" ht="16.2"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t="s">
        <v>652</v>
      </c>
      <c r="J333" s="152" t="str">
        <f>IF(VLOOKUP(A333,'Aux - pivots1'!$A:$E,3,0)=0, "",VLOOKUP(A333,'Aux - pivots1'!$A:$E,3,0))</f>
        <v/>
      </c>
      <c r="K333" s="152" t="str">
        <f>IF(VLOOKUP(A333,'Aux - pivots1'!$A:$E,4,0)=0, "",VLOOKUP(A333,'Aux - pivots1'!$A:$E,4,0))</f>
        <v/>
      </c>
      <c r="L333" s="152" t="str">
        <f>IF(VLOOKUP(A333,'Aux - pivots1'!$A:$E,5,0)=0, "",VLOOKUP(A333,'Aux - pivots1'!$A:$E,5,0))</f>
        <v/>
      </c>
      <c r="M333" s="205"/>
      <c r="N333" s="205"/>
      <c r="O333" s="337" t="s">
        <v>29</v>
      </c>
    </row>
    <row r="334" spans="1:15" ht="16.2"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t="s">
        <v>652</v>
      </c>
      <c r="J334" s="152" t="str">
        <f>IF(VLOOKUP(A334,'Aux - pivots1'!$A:$E,3,0)=0, "",VLOOKUP(A334,'Aux - pivots1'!$A:$E,3,0))</f>
        <v/>
      </c>
      <c r="K334" s="152" t="str">
        <f>IF(VLOOKUP(A334,'Aux - pivots1'!$A:$E,4,0)=0, "",VLOOKUP(A334,'Aux - pivots1'!$A:$E,4,0))</f>
        <v/>
      </c>
      <c r="L334" s="152" t="str">
        <f>IF(VLOOKUP(A334,'Aux - pivots1'!$A:$E,5,0)=0, "",VLOOKUP(A334,'Aux - pivots1'!$A:$E,5,0))</f>
        <v/>
      </c>
      <c r="M334" s="205"/>
      <c r="N334" s="205"/>
      <c r="O334" s="337" t="s">
        <v>29</v>
      </c>
    </row>
    <row r="335" spans="1:15" ht="16.2"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t="s">
        <v>652</v>
      </c>
      <c r="J335" s="152" t="str">
        <f>IF(VLOOKUP(A335,'Aux - pivots1'!$A:$E,3,0)=0, "",VLOOKUP(A335,'Aux - pivots1'!$A:$E,3,0))</f>
        <v/>
      </c>
      <c r="K335" s="152" t="str">
        <f>IF(VLOOKUP(A335,'Aux - pivots1'!$A:$E,4,0)=0, "",VLOOKUP(A335,'Aux - pivots1'!$A:$E,4,0))</f>
        <v/>
      </c>
      <c r="L335" s="152" t="str">
        <f>IF(VLOOKUP(A335,'Aux - pivots1'!$A:$E,5,0)=0, "",VLOOKUP(A335,'Aux - pivots1'!$A:$E,5,0))</f>
        <v/>
      </c>
      <c r="M335" s="205"/>
      <c r="N335" s="205"/>
      <c r="O335" s="337" t="s">
        <v>29</v>
      </c>
    </row>
    <row r="336" spans="1:15" ht="16.2"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t="s">
        <v>652</v>
      </c>
      <c r="J336" s="152" t="str">
        <f>IF(VLOOKUP(A336,'Aux - pivots1'!$A:$E,3,0)=0, "",VLOOKUP(A336,'Aux - pivots1'!$A:$E,3,0))</f>
        <v/>
      </c>
      <c r="K336" s="152" t="str">
        <f>IF(VLOOKUP(A336,'Aux - pivots1'!$A:$E,4,0)=0, "",VLOOKUP(A336,'Aux - pivots1'!$A:$E,4,0))</f>
        <v/>
      </c>
      <c r="L336" s="152" t="str">
        <f>IF(VLOOKUP(A336,'Aux - pivots1'!$A:$E,5,0)=0, "",VLOOKUP(A336,'Aux - pivots1'!$A:$E,5,0))</f>
        <v/>
      </c>
      <c r="M336" s="205"/>
      <c r="N336" s="205"/>
      <c r="O336" s="337" t="s">
        <v>29</v>
      </c>
    </row>
    <row r="337" spans="1:17" ht="16.2"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2" t="str">
        <f>IF(VLOOKUP(A337,'Aux - pivots1'!$A:$E,3,0)=0, "",VLOOKUP(A337,'Aux - pivots1'!$A:$E,3,0))</f>
        <v/>
      </c>
      <c r="K337" s="152" t="str">
        <f>IF(VLOOKUP(A337,'Aux - pivots1'!$A:$E,4,0)=0, "",VLOOKUP(A337,'Aux - pivots1'!$A:$E,4,0))</f>
        <v/>
      </c>
      <c r="L337" s="152" t="str">
        <f>IF(VLOOKUP(A337,'Aux - pivots1'!$A:$E,5,0)=0, "",VLOOKUP(A337,'Aux - pivots1'!$A:$E,5,0))</f>
        <v/>
      </c>
      <c r="M337" s="205"/>
      <c r="N337" s="205"/>
      <c r="O337" s="337" t="s">
        <v>29</v>
      </c>
    </row>
    <row r="338" spans="1:17" ht="16.2"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2" t="str">
        <f>IF(VLOOKUP(A338,'Aux - pivots1'!$A:$E,3,0)=0, "",VLOOKUP(A338,'Aux - pivots1'!$A:$E,3,0))</f>
        <v/>
      </c>
      <c r="K338" s="152" t="str">
        <f>IF(VLOOKUP(A338,'Aux - pivots1'!$A:$E,4,0)=0, "",VLOOKUP(A338,'Aux - pivots1'!$A:$E,4,0))</f>
        <v/>
      </c>
      <c r="L338" s="152" t="str">
        <f>IF(VLOOKUP(A338,'Aux - pivots1'!$A:$E,5,0)=0, "",VLOOKUP(A338,'Aux - pivots1'!$A:$E,5,0))</f>
        <v/>
      </c>
      <c r="M338" s="205"/>
      <c r="N338" s="205"/>
      <c r="O338" s="337" t="s">
        <v>29</v>
      </c>
    </row>
    <row r="339" spans="1:17" ht="16.2"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2" t="str">
        <f>IF(VLOOKUP(A339,'Aux - pivots1'!$A:$E,3,0)=0, "",VLOOKUP(A339,'Aux - pivots1'!$A:$E,3,0))</f>
        <v/>
      </c>
      <c r="K339" s="152" t="str">
        <f>IF(VLOOKUP(A339,'Aux - pivots1'!$A:$E,4,0)=0, "",VLOOKUP(A339,'Aux - pivots1'!$A:$E,4,0))</f>
        <v/>
      </c>
      <c r="L339" s="152" t="str">
        <f>IF(VLOOKUP(A339,'Aux - pivots1'!$A:$E,5,0)=0, "",VLOOKUP(A339,'Aux - pivots1'!$A:$E,5,0))</f>
        <v/>
      </c>
      <c r="M339" s="205"/>
      <c r="N339" s="205"/>
      <c r="O339" s="337" t="s">
        <v>29</v>
      </c>
    </row>
    <row r="340" spans="1:17" ht="16.2"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2" t="str">
        <f>IF(VLOOKUP(A340,'Aux - pivots1'!$A:$E,3,0)=0, "",VLOOKUP(A340,'Aux - pivots1'!$A:$E,3,0))</f>
        <v/>
      </c>
      <c r="K340" s="152" t="str">
        <f>IF(VLOOKUP(A340,'Aux - pivots1'!$A:$E,4,0)=0, "",VLOOKUP(A340,'Aux - pivots1'!$A:$E,4,0))</f>
        <v/>
      </c>
      <c r="L340" s="152" t="str">
        <f>IF(VLOOKUP(A340,'Aux - pivots1'!$A:$E,5,0)=0, "",VLOOKUP(A340,'Aux - pivots1'!$A:$E,5,0))</f>
        <v/>
      </c>
      <c r="M340" s="205"/>
      <c r="N340" s="205"/>
      <c r="O340" s="337" t="s">
        <v>29</v>
      </c>
    </row>
    <row r="341" spans="1:17" ht="16.2"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2" t="str">
        <f>IF(VLOOKUP(A341,'Aux - pivots1'!$A:$E,3,0)=0, "",VLOOKUP(A341,'Aux - pivots1'!$A:$E,3,0))</f>
        <v/>
      </c>
      <c r="K341" s="152" t="str">
        <f>IF(VLOOKUP(A341,'Aux - pivots1'!$A:$E,4,0)=0, "",VLOOKUP(A341,'Aux - pivots1'!$A:$E,4,0))</f>
        <v/>
      </c>
      <c r="L341" s="152" t="str">
        <f>IF(VLOOKUP(A341,'Aux - pivots1'!$A:$E,5,0)=0, "",VLOOKUP(A341,'Aux - pivots1'!$A:$E,5,0))</f>
        <v/>
      </c>
      <c r="M341" s="205"/>
      <c r="N341" s="205"/>
      <c r="O341" s="337" t="s">
        <v>29</v>
      </c>
    </row>
    <row r="342" spans="1:17" ht="16.2"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2" t="str">
        <f>IF(VLOOKUP(A342,'Aux - pivots1'!$A:$E,3,0)=0, "",VLOOKUP(A342,'Aux - pivots1'!$A:$E,3,0))</f>
        <v/>
      </c>
      <c r="K342" s="152" t="str">
        <f>IF(VLOOKUP(A342,'Aux - pivots1'!$A:$E,4,0)=0, "",VLOOKUP(A342,'Aux - pivots1'!$A:$E,4,0))</f>
        <v/>
      </c>
      <c r="L342" s="152" t="str">
        <f>IF(VLOOKUP(A342,'Aux - pivots1'!$A:$E,5,0)=0, "",VLOOKUP(A342,'Aux - pivots1'!$A:$E,5,0))</f>
        <v/>
      </c>
      <c r="M342" s="205"/>
      <c r="N342" s="205"/>
      <c r="O342" s="337" t="s">
        <v>29</v>
      </c>
    </row>
    <row r="343" spans="1:17" ht="16.2" customHeight="1">
      <c r="A343" s="29" t="str">
        <f t="shared" si="5"/>
        <v>modesg_inp_risco_fisico_zipcodecod_pais</v>
      </c>
      <c r="B343" s="141" t="s">
        <v>26</v>
      </c>
      <c r="C343" s="137" t="s">
        <v>181</v>
      </c>
      <c r="D343" s="133" t="s">
        <v>40</v>
      </c>
      <c r="E343" s="134" t="s">
        <v>2218</v>
      </c>
      <c r="F343" s="133" t="s">
        <v>279</v>
      </c>
      <c r="G343" s="135" t="str">
        <f>VLOOKUP(A343,Plano_V3!$A$26:$G$753,7,0)</f>
        <v>7. Por iniciar</v>
      </c>
      <c r="H343" s="135"/>
      <c r="I343" s="492" t="s">
        <v>2372</v>
      </c>
      <c r="J343" s="152" t="str">
        <f>IF(VLOOKUP(A343,'Aux - pivots1'!$A:$E,3,0)=0, "",VLOOKUP(A343,'Aux - pivots1'!$A:$E,3,0))</f>
        <v/>
      </c>
      <c r="K343" s="152" t="str">
        <f>IF(VLOOKUP(A343,'Aux - pivots1'!$A:$E,4,0)=0, "",VLOOKUP(A343,'Aux - pivots1'!$A:$E,4,0))</f>
        <v/>
      </c>
      <c r="L343" s="152" t="str">
        <f>IF(VLOOKUP(A343,'Aux - pivots1'!$A:$E,5,0)=0, "",VLOOKUP(A343,'Aux - pivots1'!$A:$E,5,0))</f>
        <v/>
      </c>
      <c r="M343" s="205"/>
      <c r="N343" s="205"/>
      <c r="O343" s="337"/>
      <c r="Q343" s="268" t="s">
        <v>1884</v>
      </c>
    </row>
    <row r="344" spans="1:17" ht="16.2" customHeight="1">
      <c r="A344" s="29" t="str">
        <f t="shared" si="5"/>
        <v>modesg_inp_risco_fisico_zipcodelocalizacao</v>
      </c>
      <c r="B344" s="141" t="s">
        <v>26</v>
      </c>
      <c r="C344" s="137" t="s">
        <v>181</v>
      </c>
      <c r="D344" s="133" t="s">
        <v>40</v>
      </c>
      <c r="E344" s="134" t="s">
        <v>2218</v>
      </c>
      <c r="F344" s="133" t="s">
        <v>2219</v>
      </c>
      <c r="G344" s="135" t="str">
        <f>VLOOKUP(A344,Plano_V3!$A$26:$G$753,7,0)</f>
        <v>7. Por iniciar</v>
      </c>
      <c r="H344" s="135"/>
      <c r="I344" s="492" t="s">
        <v>2372</v>
      </c>
      <c r="J344" s="152" t="str">
        <f>IF(VLOOKUP(A344,'Aux - pivots1'!$A:$E,3,0)=0, "",VLOOKUP(A344,'Aux - pivots1'!$A:$E,3,0))</f>
        <v/>
      </c>
      <c r="K344" s="152" t="str">
        <f>IF(VLOOKUP(A344,'Aux - pivots1'!$A:$E,4,0)=0, "",VLOOKUP(A344,'Aux - pivots1'!$A:$E,4,0))</f>
        <v/>
      </c>
      <c r="L344" s="152" t="str">
        <f>IF(VLOOKUP(A344,'Aux - pivots1'!$A:$E,5,0)=0, "",VLOOKUP(A344,'Aux - pivots1'!$A:$E,5,0))</f>
        <v/>
      </c>
      <c r="M344" s="205"/>
      <c r="N344" s="205"/>
      <c r="O344" s="337"/>
      <c r="Q344" s="268" t="s">
        <v>1884</v>
      </c>
    </row>
    <row r="345" spans="1:17" ht="16.2" customHeight="1">
      <c r="A345" s="29" t="str">
        <f t="shared" si="5"/>
        <v>modesg_inp_risco_fisico_zipcodecod_nace_esg</v>
      </c>
      <c r="B345" s="141" t="s">
        <v>26</v>
      </c>
      <c r="C345" s="137" t="s">
        <v>181</v>
      </c>
      <c r="D345" s="133" t="s">
        <v>40</v>
      </c>
      <c r="E345" s="134" t="s">
        <v>2218</v>
      </c>
      <c r="F345" s="133" t="s">
        <v>281</v>
      </c>
      <c r="G345" s="135" t="str">
        <f>VLOOKUP(A345,Plano_V3!$A$26:$G$753,7,0)</f>
        <v>7. Por iniciar</v>
      </c>
      <c r="H345" s="135"/>
      <c r="I345" s="492" t="s">
        <v>2372</v>
      </c>
      <c r="J345" s="152" t="str">
        <f>IF(VLOOKUP(A345,'Aux - pivots1'!$A:$E,3,0)=0, "",VLOOKUP(A345,'Aux - pivots1'!$A:$E,3,0))</f>
        <v/>
      </c>
      <c r="K345" s="152" t="str">
        <f>IF(VLOOKUP(A345,'Aux - pivots1'!$A:$E,4,0)=0, "",VLOOKUP(A345,'Aux - pivots1'!$A:$E,4,0))</f>
        <v/>
      </c>
      <c r="L345" s="152" t="str">
        <f>IF(VLOOKUP(A345,'Aux - pivots1'!$A:$E,5,0)=0, "",VLOOKUP(A345,'Aux - pivots1'!$A:$E,5,0))</f>
        <v/>
      </c>
      <c r="M345" s="205"/>
      <c r="N345" s="205"/>
      <c r="O345" s="337"/>
      <c r="Q345" s="268" t="s">
        <v>1884</v>
      </c>
    </row>
    <row r="346" spans="1:17" ht="16.2" customHeight="1">
      <c r="A346" s="29" t="str">
        <f t="shared" si="5"/>
        <v>modesg_inp_risco_fisico_zipcodeflg_rsc_fsc_agd</v>
      </c>
      <c r="B346" s="141" t="s">
        <v>26</v>
      </c>
      <c r="C346" s="137" t="s">
        <v>181</v>
      </c>
      <c r="D346" s="133" t="s">
        <v>40</v>
      </c>
      <c r="E346" s="134" t="s">
        <v>2218</v>
      </c>
      <c r="F346" s="133" t="s">
        <v>282</v>
      </c>
      <c r="G346" s="135" t="str">
        <f>VLOOKUP(A346,Plano_V3!$A$26:$G$753,7,0)</f>
        <v>7. Por iniciar</v>
      </c>
      <c r="H346" s="135"/>
      <c r="I346" s="492" t="s">
        <v>2372</v>
      </c>
      <c r="J346" s="152" t="str">
        <f>IF(VLOOKUP(A346,'Aux - pivots1'!$A:$E,3,0)=0, "",VLOOKUP(A346,'Aux - pivots1'!$A:$E,3,0))</f>
        <v/>
      </c>
      <c r="K346" s="152" t="str">
        <f>IF(VLOOKUP(A346,'Aux - pivots1'!$A:$E,4,0)=0, "",VLOOKUP(A346,'Aux - pivots1'!$A:$E,4,0))</f>
        <v/>
      </c>
      <c r="L346" s="152" t="str">
        <f>IF(VLOOKUP(A346,'Aux - pivots1'!$A:$E,5,0)=0, "",VLOOKUP(A346,'Aux - pivots1'!$A:$E,5,0))</f>
        <v/>
      </c>
      <c r="M346" s="205"/>
      <c r="N346" s="205"/>
      <c r="O346" s="337"/>
      <c r="Q346" s="268" t="s">
        <v>1884</v>
      </c>
    </row>
    <row r="347" spans="1:17" ht="16.2" customHeight="1">
      <c r="A347" s="29" t="str">
        <f t="shared" si="5"/>
        <v>modesg_inp_risco_fisico_zipcodeflg_rsc_fsc_crnc</v>
      </c>
      <c r="B347" s="141" t="s">
        <v>26</v>
      </c>
      <c r="C347" s="137" t="s">
        <v>181</v>
      </c>
      <c r="D347" s="133" t="s">
        <v>40</v>
      </c>
      <c r="E347" s="134" t="s">
        <v>2218</v>
      </c>
      <c r="F347" s="133" t="s">
        <v>283</v>
      </c>
      <c r="G347" s="135" t="str">
        <f>VLOOKUP(A347,Plano_V3!$A$26:$G$753,7,0)</f>
        <v>7. Por iniciar</v>
      </c>
      <c r="H347" s="135"/>
      <c r="I347" s="492" t="s">
        <v>2372</v>
      </c>
      <c r="J347" s="152" t="str">
        <f>IF(VLOOKUP(A347,'Aux - pivots1'!$A:$E,3,0)=0, "",VLOOKUP(A347,'Aux - pivots1'!$A:$E,3,0))</f>
        <v/>
      </c>
      <c r="K347" s="152" t="str">
        <f>IF(VLOOKUP(A347,'Aux - pivots1'!$A:$E,4,0)=0, "",VLOOKUP(A347,'Aux - pivots1'!$A:$E,4,0))</f>
        <v/>
      </c>
      <c r="L347" s="152" t="str">
        <f>IF(VLOOKUP(A347,'Aux - pivots1'!$A:$E,5,0)=0, "",VLOOKUP(A347,'Aux - pivots1'!$A:$E,5,0))</f>
        <v/>
      </c>
      <c r="M347" s="205"/>
      <c r="N347" s="205"/>
      <c r="O347" s="337"/>
      <c r="Q347" s="268" t="s">
        <v>1884</v>
      </c>
    </row>
    <row r="348" spans="1:17" ht="16.2"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2" t="str">
        <f>IF(VLOOKUP(A348,'Aux - pivots1'!$A:$E,3,0)=0, "",VLOOKUP(A348,'Aux - pivots1'!$A:$E,3,0))</f>
        <v/>
      </c>
      <c r="K348" s="152" t="str">
        <f>IF(VLOOKUP(A348,'Aux - pivots1'!$A:$E,4,0)=0, "",VLOOKUP(A348,'Aux - pivots1'!$A:$E,4,0))</f>
        <v/>
      </c>
      <c r="L348" s="152" t="str">
        <f>IF(VLOOKUP(A348,'Aux - pivots1'!$A:$E,5,0)=0, "",VLOOKUP(A348,'Aux - pivots1'!$A:$E,5,0))</f>
        <v/>
      </c>
      <c r="M348" s="205"/>
      <c r="N348" s="205"/>
      <c r="O348" s="337" t="s">
        <v>29</v>
      </c>
    </row>
    <row r="349" spans="1:17" ht="16.2"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2" t="str">
        <f>IF(VLOOKUP(A349,'Aux - pivots1'!$A:$E,3,0)=0, "",VLOOKUP(A349,'Aux - pivots1'!$A:$E,3,0))</f>
        <v/>
      </c>
      <c r="K349" s="152" t="str">
        <f>IF(VLOOKUP(A349,'Aux - pivots1'!$A:$E,4,0)=0, "",VLOOKUP(A349,'Aux - pivots1'!$A:$E,4,0))</f>
        <v/>
      </c>
      <c r="L349" s="152" t="str">
        <f>IF(VLOOKUP(A349,'Aux - pivots1'!$A:$E,5,0)=0, "",VLOOKUP(A349,'Aux - pivots1'!$A:$E,5,0))</f>
        <v/>
      </c>
      <c r="M349" s="205"/>
      <c r="N349" s="205"/>
      <c r="O349" s="337" t="s">
        <v>29</v>
      </c>
    </row>
    <row r="350" spans="1:17" ht="16.2"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2" t="str">
        <f>IF(VLOOKUP(A350,'Aux - pivots1'!$A:$E,3,0)=0, "",VLOOKUP(A350,'Aux - pivots1'!$A:$E,3,0))</f>
        <v/>
      </c>
      <c r="K350" s="152" t="str">
        <f>IF(VLOOKUP(A350,'Aux - pivots1'!$A:$E,4,0)=0, "",VLOOKUP(A350,'Aux - pivots1'!$A:$E,4,0))</f>
        <v/>
      </c>
      <c r="L350" s="152" t="str">
        <f>IF(VLOOKUP(A350,'Aux - pivots1'!$A:$E,5,0)=0, "",VLOOKUP(A350,'Aux - pivots1'!$A:$E,5,0))</f>
        <v/>
      </c>
      <c r="M350" s="205"/>
      <c r="N350" s="205"/>
      <c r="O350" s="337" t="s">
        <v>29</v>
      </c>
    </row>
    <row r="351" spans="1:17" ht="16.2"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2" t="str">
        <f>IF(VLOOKUP(A351,'Aux - pivots1'!$A:$E,3,0)=0, "",VLOOKUP(A351,'Aux - pivots1'!$A:$E,3,0))</f>
        <v/>
      </c>
      <c r="K351" s="152" t="str">
        <f>IF(VLOOKUP(A351,'Aux - pivots1'!$A:$E,4,0)=0, "",VLOOKUP(A351,'Aux - pivots1'!$A:$E,4,0))</f>
        <v/>
      </c>
      <c r="L351" s="152" t="str">
        <f>IF(VLOOKUP(A351,'Aux - pivots1'!$A:$E,5,0)=0, "",VLOOKUP(A351,'Aux - pivots1'!$A:$E,5,0))</f>
        <v/>
      </c>
      <c r="M351" s="205"/>
      <c r="N351" s="205"/>
      <c r="O351" s="337" t="s">
        <v>29</v>
      </c>
    </row>
    <row r="352" spans="1:17" ht="16.2"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2" t="str">
        <f>IF(VLOOKUP(A352,'Aux - pivots1'!$A:$E,3,0)=0, "",VLOOKUP(A352,'Aux - pivots1'!$A:$E,3,0))</f>
        <v/>
      </c>
      <c r="K352" s="152" t="str">
        <f>IF(VLOOKUP(A352,'Aux - pivots1'!$A:$E,4,0)=0, "",VLOOKUP(A352,'Aux - pivots1'!$A:$E,4,0))</f>
        <v/>
      </c>
      <c r="L352" s="152" t="str">
        <f>IF(VLOOKUP(A352,'Aux - pivots1'!$A:$E,5,0)=0, "",VLOOKUP(A352,'Aux - pivots1'!$A:$E,5,0))</f>
        <v/>
      </c>
      <c r="M352" s="205"/>
      <c r="N352" s="205"/>
      <c r="O352" s="337" t="s">
        <v>29</v>
      </c>
    </row>
    <row r="353" spans="1:15" ht="16.2"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t="s">
        <v>653</v>
      </c>
      <c r="J353" s="152" t="str">
        <f>IF(VLOOKUP(A353,'Aux - pivots1'!$A:$E,3,0)=0, "",VLOOKUP(A353,'Aux - pivots1'!$A:$E,3,0))</f>
        <v/>
      </c>
      <c r="K353" s="152" t="str">
        <f>IF(VLOOKUP(A353,'Aux - pivots1'!$A:$E,4,0)=0, "",VLOOKUP(A353,'Aux - pivots1'!$A:$E,4,0))</f>
        <v/>
      </c>
      <c r="L353" s="152" t="str">
        <f>IF(VLOOKUP(A353,'Aux - pivots1'!$A:$E,5,0)=0, "",VLOOKUP(A353,'Aux - pivots1'!$A:$E,5,0))</f>
        <v/>
      </c>
      <c r="M353" s="205"/>
      <c r="N353" s="205"/>
      <c r="O353" s="337" t="s">
        <v>29</v>
      </c>
    </row>
    <row r="354" spans="1:15" ht="16.2"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t="s">
        <v>653</v>
      </c>
      <c r="J354" s="152" t="str">
        <f>IF(VLOOKUP(A354,'Aux - pivots1'!$A:$E,3,0)=0, "",VLOOKUP(A354,'Aux - pivots1'!$A:$E,3,0))</f>
        <v/>
      </c>
      <c r="K354" s="152" t="str">
        <f>IF(VLOOKUP(A354,'Aux - pivots1'!$A:$E,4,0)=0, "",VLOOKUP(A354,'Aux - pivots1'!$A:$E,4,0))</f>
        <v/>
      </c>
      <c r="L354" s="152" t="str">
        <f>IF(VLOOKUP(A354,'Aux - pivots1'!$A:$E,5,0)=0, "",VLOOKUP(A354,'Aux - pivots1'!$A:$E,5,0))</f>
        <v/>
      </c>
      <c r="M354" s="205"/>
      <c r="N354" s="205"/>
      <c r="O354" s="337" t="s">
        <v>29</v>
      </c>
    </row>
    <row r="355" spans="1:15" ht="16.2"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2" t="str">
        <f>IF(VLOOKUP(A355,'Aux - pivots1'!$A:$E,3,0)=0, "",VLOOKUP(A355,'Aux - pivots1'!$A:$E,3,0))</f>
        <v/>
      </c>
      <c r="K355" s="152" t="str">
        <f>IF(VLOOKUP(A355,'Aux - pivots1'!$A:$E,4,0)=0, "",VLOOKUP(A355,'Aux - pivots1'!$A:$E,4,0))</f>
        <v/>
      </c>
      <c r="L355" s="152" t="str">
        <f>IF(VLOOKUP(A355,'Aux - pivots1'!$A:$E,5,0)=0, "",VLOOKUP(A355,'Aux - pivots1'!$A:$E,5,0))</f>
        <v/>
      </c>
      <c r="M355" s="205"/>
      <c r="N355" s="205"/>
      <c r="O355" s="337" t="s">
        <v>29</v>
      </c>
    </row>
    <row r="356" spans="1:15" ht="16.2"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2" t="str">
        <f>IF(VLOOKUP(A356,'Aux - pivots1'!$A:$E,3,0)=0, "",VLOOKUP(A356,'Aux - pivots1'!$A:$E,3,0))</f>
        <v/>
      </c>
      <c r="K356" s="152" t="str">
        <f>IF(VLOOKUP(A356,'Aux - pivots1'!$A:$E,4,0)=0, "",VLOOKUP(A356,'Aux - pivots1'!$A:$E,4,0))</f>
        <v/>
      </c>
      <c r="L356" s="152" t="str">
        <f>IF(VLOOKUP(A356,'Aux - pivots1'!$A:$E,5,0)=0, "",VLOOKUP(A356,'Aux - pivots1'!$A:$E,5,0))</f>
        <v/>
      </c>
      <c r="M356" s="205"/>
      <c r="N356" s="205"/>
      <c r="O356" s="337" t="s">
        <v>29</v>
      </c>
    </row>
    <row r="357" spans="1:15" ht="16.2"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2" t="str">
        <f>IF(VLOOKUP(A357,'Aux - pivots1'!$A:$E,3,0)=0, "",VLOOKUP(A357,'Aux - pivots1'!$A:$E,3,0))</f>
        <v/>
      </c>
      <c r="K357" s="152" t="str">
        <f>IF(VLOOKUP(A357,'Aux - pivots1'!$A:$E,4,0)=0, "",VLOOKUP(A357,'Aux - pivots1'!$A:$E,4,0))</f>
        <v/>
      </c>
      <c r="L357" s="152" t="str">
        <f>IF(VLOOKUP(A357,'Aux - pivots1'!$A:$E,5,0)=0, "",VLOOKUP(A357,'Aux - pivots1'!$A:$E,5,0))</f>
        <v/>
      </c>
      <c r="M357" s="205"/>
      <c r="N357" s="205"/>
      <c r="O357" s="337" t="s">
        <v>29</v>
      </c>
    </row>
    <row r="358" spans="1:15" ht="16.2"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2" t="str">
        <f>IF(VLOOKUP(A358,'Aux - pivots1'!$A:$E,3,0)=0, "",VLOOKUP(A358,'Aux - pivots1'!$A:$E,3,0))</f>
        <v/>
      </c>
      <c r="K358" s="152" t="str">
        <f>IF(VLOOKUP(A358,'Aux - pivots1'!$A:$E,4,0)=0, "",VLOOKUP(A358,'Aux - pivots1'!$A:$E,4,0))</f>
        <v/>
      </c>
      <c r="L358" s="152" t="str">
        <f>IF(VLOOKUP(A358,'Aux - pivots1'!$A:$E,5,0)=0, "",VLOOKUP(A358,'Aux - pivots1'!$A:$E,5,0))</f>
        <v/>
      </c>
      <c r="M358" s="205"/>
      <c r="N358" s="205"/>
      <c r="O358" s="337" t="s">
        <v>29</v>
      </c>
    </row>
    <row r="359" spans="1:15" ht="16.2"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2" t="str">
        <f>IF(VLOOKUP(A359,'Aux - pivots1'!$A:$E,3,0)=0, "",VLOOKUP(A359,'Aux - pivots1'!$A:$E,3,0))</f>
        <v/>
      </c>
      <c r="K359" s="152" t="str">
        <f>IF(VLOOKUP(A359,'Aux - pivots1'!$A:$E,4,0)=0, "",VLOOKUP(A359,'Aux - pivots1'!$A:$E,4,0))</f>
        <v/>
      </c>
      <c r="L359" s="152" t="str">
        <f>IF(VLOOKUP(A359,'Aux - pivots1'!$A:$E,5,0)=0, "",VLOOKUP(A359,'Aux - pivots1'!$A:$E,5,0))</f>
        <v/>
      </c>
      <c r="M359" s="205"/>
      <c r="N359" s="205"/>
      <c r="O359" s="337" t="s">
        <v>29</v>
      </c>
    </row>
    <row r="360" spans="1:15" ht="16.2"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2" t="str">
        <f>IF(VLOOKUP(A360,'Aux - pivots1'!$A:$E,3,0)=0, "",VLOOKUP(A360,'Aux - pivots1'!$A:$E,3,0))</f>
        <v/>
      </c>
      <c r="K360" s="152" t="str">
        <f>IF(VLOOKUP(A360,'Aux - pivots1'!$A:$E,4,0)=0, "",VLOOKUP(A360,'Aux - pivots1'!$A:$E,4,0))</f>
        <v/>
      </c>
      <c r="L360" s="152" t="str">
        <f>IF(VLOOKUP(A360,'Aux - pivots1'!$A:$E,5,0)=0, "",VLOOKUP(A360,'Aux - pivots1'!$A:$E,5,0))</f>
        <v/>
      </c>
      <c r="M360" s="205"/>
      <c r="N360" s="205"/>
      <c r="O360" s="337" t="s">
        <v>29</v>
      </c>
    </row>
    <row r="361" spans="1:15" ht="16.2"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2" t="str">
        <f>IF(VLOOKUP(A361,'Aux - pivots1'!$A:$E,3,0)=0, "",VLOOKUP(A361,'Aux - pivots1'!$A:$E,3,0))</f>
        <v/>
      </c>
      <c r="K361" s="152" t="str">
        <f>IF(VLOOKUP(A361,'Aux - pivots1'!$A:$E,4,0)=0, "",VLOOKUP(A361,'Aux - pivots1'!$A:$E,4,0))</f>
        <v/>
      </c>
      <c r="L361" s="152" t="str">
        <f>IF(VLOOKUP(A361,'Aux - pivots1'!$A:$E,5,0)=0, "",VLOOKUP(A361,'Aux - pivots1'!$A:$E,5,0))</f>
        <v/>
      </c>
      <c r="M361" s="205"/>
      <c r="N361" s="205"/>
      <c r="O361" s="337" t="s">
        <v>29</v>
      </c>
    </row>
    <row r="362" spans="1:15" ht="16.2"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2" t="str">
        <f>IF(VLOOKUP(A362,'Aux - pivots1'!$A:$E,3,0)=0, "",VLOOKUP(A362,'Aux - pivots1'!$A:$E,3,0))</f>
        <v/>
      </c>
      <c r="K362" s="152" t="str">
        <f>IF(VLOOKUP(A362,'Aux - pivots1'!$A:$E,4,0)=0, "",VLOOKUP(A362,'Aux - pivots1'!$A:$E,4,0))</f>
        <v/>
      </c>
      <c r="L362" s="152" t="str">
        <f>IF(VLOOKUP(A362,'Aux - pivots1'!$A:$E,5,0)=0, "",VLOOKUP(A362,'Aux - pivots1'!$A:$E,5,0))</f>
        <v/>
      </c>
      <c r="M362" s="205"/>
      <c r="N362" s="205"/>
      <c r="O362" s="337" t="s">
        <v>29</v>
      </c>
    </row>
    <row r="363" spans="1:15" ht="16.2"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2" t="str">
        <f>IF(VLOOKUP(A363,'Aux - pivots1'!$A:$E,3,0)=0, "",VLOOKUP(A363,'Aux - pivots1'!$A:$E,3,0))</f>
        <v/>
      </c>
      <c r="K363" s="152" t="str">
        <f>IF(VLOOKUP(A363,'Aux - pivots1'!$A:$E,4,0)=0, "",VLOOKUP(A363,'Aux - pivots1'!$A:$E,4,0))</f>
        <v/>
      </c>
      <c r="L363" s="152" t="str">
        <f>IF(VLOOKUP(A363,'Aux - pivots1'!$A:$E,5,0)=0, "",VLOOKUP(A363,'Aux - pivots1'!$A:$E,5,0))</f>
        <v/>
      </c>
      <c r="M363" s="205"/>
      <c r="N363" s="205"/>
      <c r="O363" s="337" t="s">
        <v>29</v>
      </c>
    </row>
    <row r="364" spans="1:15" ht="16.2"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2" t="str">
        <f>IF(VLOOKUP(A364,'Aux - pivots1'!$A:$E,3,0)=0, "",VLOOKUP(A364,'Aux - pivots1'!$A:$E,3,0))</f>
        <v/>
      </c>
      <c r="K364" s="152" t="str">
        <f>IF(VLOOKUP(A364,'Aux - pivots1'!$A:$E,4,0)=0, "",VLOOKUP(A364,'Aux - pivots1'!$A:$E,4,0))</f>
        <v/>
      </c>
      <c r="L364" s="152" t="str">
        <f>IF(VLOOKUP(A364,'Aux - pivots1'!$A:$E,5,0)=0, "",VLOOKUP(A364,'Aux - pivots1'!$A:$E,5,0))</f>
        <v/>
      </c>
      <c r="M364" s="205"/>
      <c r="N364" s="205"/>
      <c r="O364" s="337" t="s">
        <v>29</v>
      </c>
    </row>
    <row r="365" spans="1:15" ht="16.2"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52" t="str">
        <f>IF(VLOOKUP(A365,'Aux - pivots1'!$A:$E,3,0)=0, "",VLOOKUP(A365,'Aux - pivots1'!$A:$E,3,0))</f>
        <v/>
      </c>
      <c r="K365" s="152" t="str">
        <f>IF(VLOOKUP(A365,'Aux - pivots1'!$A:$E,4,0)=0, "",VLOOKUP(A365,'Aux - pivots1'!$A:$E,4,0))</f>
        <v/>
      </c>
      <c r="L365" s="152" t="str">
        <f>IF(VLOOKUP(A365,'Aux - pivots1'!$A:$E,5,0)=0, "",VLOOKUP(A365,'Aux - pivots1'!$A:$E,5,0))</f>
        <v/>
      </c>
      <c r="M365" s="205"/>
      <c r="N365" s="205"/>
      <c r="O365" s="337" t="s">
        <v>29</v>
      </c>
    </row>
    <row r="366" spans="1:15" ht="16.2"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t="s">
        <v>652</v>
      </c>
      <c r="J366" s="152" t="str">
        <f>IF(VLOOKUP(A366,'Aux - pivots1'!$A:$E,3,0)=0, "",VLOOKUP(A366,'Aux - pivots1'!$A:$E,3,0))</f>
        <v/>
      </c>
      <c r="K366" s="152" t="str">
        <f>IF(VLOOKUP(A366,'Aux - pivots1'!$A:$E,4,0)=0, "",VLOOKUP(A366,'Aux - pivots1'!$A:$E,4,0))</f>
        <v/>
      </c>
      <c r="L366" s="152" t="str">
        <f>IF(VLOOKUP(A366,'Aux - pivots1'!$A:$E,5,0)=0, "",VLOOKUP(A366,'Aux - pivots1'!$A:$E,5,0))</f>
        <v/>
      </c>
      <c r="M366" s="205"/>
      <c r="N366" s="205"/>
      <c r="O366" s="337" t="s">
        <v>29</v>
      </c>
    </row>
    <row r="367" spans="1:15" ht="16.2"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t="s">
        <v>652</v>
      </c>
      <c r="J367" s="152" t="str">
        <f>IF(VLOOKUP(A367,'Aux - pivots1'!$A:$E,3,0)=0, "",VLOOKUP(A367,'Aux - pivots1'!$A:$E,3,0))</f>
        <v/>
      </c>
      <c r="K367" s="152" t="str">
        <f>IF(VLOOKUP(A367,'Aux - pivots1'!$A:$E,4,0)=0, "",VLOOKUP(A367,'Aux - pivots1'!$A:$E,4,0))</f>
        <v/>
      </c>
      <c r="L367" s="152" t="str">
        <f>IF(VLOOKUP(A367,'Aux - pivots1'!$A:$E,5,0)=0, "",VLOOKUP(A367,'Aux - pivots1'!$A:$E,5,0))</f>
        <v/>
      </c>
      <c r="M367" s="205"/>
      <c r="N367" s="205"/>
      <c r="O367" s="337" t="s">
        <v>29</v>
      </c>
    </row>
    <row r="368" spans="1:15" ht="16.2"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52" t="str">
        <f>IF(VLOOKUP(A368,'Aux - pivots1'!$A:$E,3,0)=0, "",VLOOKUP(A368,'Aux - pivots1'!$A:$E,3,0))</f>
        <v/>
      </c>
      <c r="K368" s="152" t="str">
        <f>IF(VLOOKUP(A368,'Aux - pivots1'!$A:$E,4,0)=0, "",VLOOKUP(A368,'Aux - pivots1'!$A:$E,4,0))</f>
        <v/>
      </c>
      <c r="L368" s="152" t="str">
        <f>IF(VLOOKUP(A368,'Aux - pivots1'!$A:$E,5,0)=0, "",VLOOKUP(A368,'Aux - pivots1'!$A:$E,5,0))</f>
        <v/>
      </c>
      <c r="M368" s="205"/>
      <c r="N368" s="205"/>
      <c r="O368" s="337" t="s">
        <v>29</v>
      </c>
    </row>
    <row r="369" spans="1:15" ht="16.2"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52" t="str">
        <f>IF(VLOOKUP(A369,'Aux - pivots1'!$A:$E,3,0)=0, "",VLOOKUP(A369,'Aux - pivots1'!$A:$E,3,0))</f>
        <v/>
      </c>
      <c r="K369" s="152" t="str">
        <f>IF(VLOOKUP(A369,'Aux - pivots1'!$A:$E,4,0)=0, "",VLOOKUP(A369,'Aux - pivots1'!$A:$E,4,0))</f>
        <v/>
      </c>
      <c r="L369" s="152" t="str">
        <f>IF(VLOOKUP(A369,'Aux - pivots1'!$A:$E,5,0)=0, "",VLOOKUP(A369,'Aux - pivots1'!$A:$E,5,0))</f>
        <v/>
      </c>
      <c r="M369" s="205"/>
      <c r="N369" s="205"/>
      <c r="O369" s="337" t="s">
        <v>29</v>
      </c>
    </row>
    <row r="370" spans="1:15" ht="16.2"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t="s">
        <v>652</v>
      </c>
      <c r="J370" s="152" t="str">
        <f>IF(VLOOKUP(A370,'Aux - pivots1'!$A:$E,3,0)=0, "",VLOOKUP(A370,'Aux - pivots1'!$A:$E,3,0))</f>
        <v/>
      </c>
      <c r="K370" s="152" t="str">
        <f>IF(VLOOKUP(A370,'Aux - pivots1'!$A:$E,4,0)=0, "",VLOOKUP(A370,'Aux - pivots1'!$A:$E,4,0))</f>
        <v/>
      </c>
      <c r="L370" s="152" t="str">
        <f>IF(VLOOKUP(A370,'Aux - pivots1'!$A:$E,5,0)=0, "",VLOOKUP(A370,'Aux - pivots1'!$A:$E,5,0))</f>
        <v/>
      </c>
      <c r="M370" s="205"/>
      <c r="N370" s="205"/>
      <c r="O370" s="337" t="s">
        <v>29</v>
      </c>
    </row>
    <row r="371" spans="1:15" ht="16.2"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t="s">
        <v>652</v>
      </c>
      <c r="J371" s="152" t="str">
        <f>IF(VLOOKUP(A371,'Aux - pivots1'!$A:$E,3,0)=0, "",VLOOKUP(A371,'Aux - pivots1'!$A:$E,3,0))</f>
        <v/>
      </c>
      <c r="K371" s="152" t="str">
        <f>IF(VLOOKUP(A371,'Aux - pivots1'!$A:$E,4,0)=0, "",VLOOKUP(A371,'Aux - pivots1'!$A:$E,4,0))</f>
        <v/>
      </c>
      <c r="L371" s="152" t="str">
        <f>IF(VLOOKUP(A371,'Aux - pivots1'!$A:$E,5,0)=0, "",VLOOKUP(A371,'Aux - pivots1'!$A:$E,5,0))</f>
        <v/>
      </c>
      <c r="M371" s="205"/>
      <c r="N371" s="205"/>
      <c r="O371" s="337" t="s">
        <v>29</v>
      </c>
    </row>
    <row r="372" spans="1:15" ht="16.2"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t="s">
        <v>652</v>
      </c>
      <c r="J372" s="152" t="str">
        <f>IF(VLOOKUP(A372,'Aux - pivots1'!$A:$E,3,0)=0, "",VLOOKUP(A372,'Aux - pivots1'!$A:$E,3,0))</f>
        <v/>
      </c>
      <c r="K372" s="152" t="str">
        <f>IF(VLOOKUP(A372,'Aux - pivots1'!$A:$E,4,0)=0, "",VLOOKUP(A372,'Aux - pivots1'!$A:$E,4,0))</f>
        <v/>
      </c>
      <c r="L372" s="152" t="str">
        <f>IF(VLOOKUP(A372,'Aux - pivots1'!$A:$E,5,0)=0, "",VLOOKUP(A372,'Aux - pivots1'!$A:$E,5,0))</f>
        <v/>
      </c>
      <c r="M372" s="205"/>
      <c r="N372" s="205"/>
      <c r="O372" s="337" t="s">
        <v>29</v>
      </c>
    </row>
    <row r="373" spans="1:15" ht="16.2"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52" t="str">
        <f>IF(VLOOKUP(A373,'Aux - pivots1'!$A:$E,3,0)=0, "",VLOOKUP(A373,'Aux - pivots1'!$A:$E,3,0))</f>
        <v/>
      </c>
      <c r="K373" s="152" t="str">
        <f>IF(VLOOKUP(A373,'Aux - pivots1'!$A:$E,4,0)=0, "",VLOOKUP(A373,'Aux - pivots1'!$A:$E,4,0))</f>
        <v/>
      </c>
      <c r="L373" s="152" t="str">
        <f>IF(VLOOKUP(A373,'Aux - pivots1'!$A:$E,5,0)=0, "",VLOOKUP(A373,'Aux - pivots1'!$A:$E,5,0))</f>
        <v/>
      </c>
      <c r="M373" s="205"/>
      <c r="N373" s="205"/>
      <c r="O373" s="337" t="s">
        <v>29</v>
      </c>
    </row>
    <row r="374" spans="1:15" ht="16.2"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52" t="str">
        <f>IF(VLOOKUP(A374,'Aux - pivots1'!$A:$E,3,0)=0, "",VLOOKUP(A374,'Aux - pivots1'!$A:$E,3,0))</f>
        <v/>
      </c>
      <c r="K374" s="152" t="str">
        <f>IF(VLOOKUP(A374,'Aux - pivots1'!$A:$E,4,0)=0, "",VLOOKUP(A374,'Aux - pivots1'!$A:$E,4,0))</f>
        <v/>
      </c>
      <c r="L374" s="152" t="str">
        <f>IF(VLOOKUP(A374,'Aux - pivots1'!$A:$E,5,0)=0, "",VLOOKUP(A374,'Aux - pivots1'!$A:$E,5,0))</f>
        <v/>
      </c>
      <c r="M374" s="205"/>
      <c r="N374" s="205"/>
      <c r="O374" s="337" t="s">
        <v>29</v>
      </c>
    </row>
    <row r="375" spans="1:15" ht="16.2"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52" t="str">
        <f>IF(VLOOKUP(A375,'Aux - pivots1'!$A:$E,3,0)=0, "",VLOOKUP(A375,'Aux - pivots1'!$A:$E,3,0))</f>
        <v/>
      </c>
      <c r="K375" s="152" t="str">
        <f>IF(VLOOKUP(A375,'Aux - pivots1'!$A:$E,4,0)=0, "",VLOOKUP(A375,'Aux - pivots1'!$A:$E,4,0))</f>
        <v/>
      </c>
      <c r="L375" s="152" t="str">
        <f>IF(VLOOKUP(A375,'Aux - pivots1'!$A:$E,5,0)=0, "",VLOOKUP(A375,'Aux - pivots1'!$A:$E,5,0))</f>
        <v/>
      </c>
      <c r="M375" s="205"/>
      <c r="N375" s="205"/>
      <c r="O375" s="337" t="s">
        <v>29</v>
      </c>
    </row>
    <row r="376" spans="1:15" ht="16.2"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52" t="str">
        <f>IF(VLOOKUP(A376,'Aux - pivots1'!$A:$E,3,0)=0, "",VLOOKUP(A376,'Aux - pivots1'!$A:$E,3,0))</f>
        <v/>
      </c>
      <c r="K376" s="152" t="str">
        <f>IF(VLOOKUP(A376,'Aux - pivots1'!$A:$E,4,0)=0, "",VLOOKUP(A376,'Aux - pivots1'!$A:$E,4,0))</f>
        <v/>
      </c>
      <c r="L376" s="152" t="str">
        <f>IF(VLOOKUP(A376,'Aux - pivots1'!$A:$E,5,0)=0, "",VLOOKUP(A376,'Aux - pivots1'!$A:$E,5,0))</f>
        <v/>
      </c>
      <c r="M376" s="205"/>
      <c r="N376" s="205"/>
      <c r="O376" s="337" t="s">
        <v>29</v>
      </c>
    </row>
    <row r="377" spans="1:15" ht="16.2"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52" t="str">
        <f>IF(VLOOKUP(A377,'Aux - pivots1'!$A:$E,3,0)=0, "",VLOOKUP(A377,'Aux - pivots1'!$A:$E,3,0))</f>
        <v/>
      </c>
      <c r="K377" s="152" t="str">
        <f>IF(VLOOKUP(A377,'Aux - pivots1'!$A:$E,4,0)=0, "",VLOOKUP(A377,'Aux - pivots1'!$A:$E,4,0))</f>
        <v/>
      </c>
      <c r="L377" s="152" t="str">
        <f>IF(VLOOKUP(A377,'Aux - pivots1'!$A:$E,5,0)=0, "",VLOOKUP(A377,'Aux - pivots1'!$A:$E,5,0))</f>
        <v/>
      </c>
      <c r="M377" s="205"/>
      <c r="N377" s="205"/>
      <c r="O377" s="337" t="s">
        <v>29</v>
      </c>
    </row>
    <row r="378" spans="1:15" ht="16.2"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52" t="str">
        <f>IF(VLOOKUP(A378,'Aux - pivots1'!$A:$E,3,0)=0, "",VLOOKUP(A378,'Aux - pivots1'!$A:$E,3,0))</f>
        <v/>
      </c>
      <c r="K378" s="152" t="str">
        <f>IF(VLOOKUP(A378,'Aux - pivots1'!$A:$E,4,0)=0, "",VLOOKUP(A378,'Aux - pivots1'!$A:$E,4,0))</f>
        <v/>
      </c>
      <c r="L378" s="152" t="str">
        <f>IF(VLOOKUP(A378,'Aux - pivots1'!$A:$E,5,0)=0, "",VLOOKUP(A378,'Aux - pivots1'!$A:$E,5,0))</f>
        <v/>
      </c>
      <c r="M378" s="205"/>
      <c r="N378" s="205"/>
      <c r="O378" s="337" t="s">
        <v>29</v>
      </c>
    </row>
    <row r="379" spans="1:15" ht="16.2"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52" t="str">
        <f>IF(VLOOKUP(A379,'Aux - pivots1'!$A:$E,3,0)=0, "",VLOOKUP(A379,'Aux - pivots1'!$A:$E,3,0))</f>
        <v/>
      </c>
      <c r="K379" s="152" t="str">
        <f>IF(VLOOKUP(A379,'Aux - pivots1'!$A:$E,4,0)=0, "",VLOOKUP(A379,'Aux - pivots1'!$A:$E,4,0))</f>
        <v/>
      </c>
      <c r="L379" s="152" t="str">
        <f>IF(VLOOKUP(A379,'Aux - pivots1'!$A:$E,5,0)=0, "",VLOOKUP(A379,'Aux - pivots1'!$A:$E,5,0))</f>
        <v/>
      </c>
      <c r="M379" s="205"/>
      <c r="N379" s="205"/>
      <c r="O379" s="337" t="s">
        <v>29</v>
      </c>
    </row>
    <row r="380" spans="1:15" ht="16.2"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52" t="str">
        <f>IF(VLOOKUP(A380,'Aux - pivots1'!$A:$E,3,0)=0, "",VLOOKUP(A380,'Aux - pivots1'!$A:$E,3,0))</f>
        <v/>
      </c>
      <c r="K380" s="152" t="str">
        <f>IF(VLOOKUP(A380,'Aux - pivots1'!$A:$E,4,0)=0, "",VLOOKUP(A380,'Aux - pivots1'!$A:$E,4,0))</f>
        <v/>
      </c>
      <c r="L380" s="152" t="str">
        <f>IF(VLOOKUP(A380,'Aux - pivots1'!$A:$E,5,0)=0, "",VLOOKUP(A380,'Aux - pivots1'!$A:$E,5,0))</f>
        <v/>
      </c>
      <c r="M380" s="205"/>
      <c r="N380" s="205"/>
      <c r="O380" s="337" t="s">
        <v>29</v>
      </c>
    </row>
    <row r="381" spans="1:15" ht="16.2"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52" t="str">
        <f>IF(VLOOKUP(A381,'Aux - pivots1'!$A:$E,3,0)=0, "",VLOOKUP(A381,'Aux - pivots1'!$A:$E,3,0))</f>
        <v/>
      </c>
      <c r="K381" s="152" t="str">
        <f>IF(VLOOKUP(A381,'Aux - pivots1'!$A:$E,4,0)=0, "",VLOOKUP(A381,'Aux - pivots1'!$A:$E,4,0))</f>
        <v/>
      </c>
      <c r="L381" s="152" t="str">
        <f>IF(VLOOKUP(A381,'Aux - pivots1'!$A:$E,5,0)=0, "",VLOOKUP(A381,'Aux - pivots1'!$A:$E,5,0))</f>
        <v/>
      </c>
      <c r="M381" s="205"/>
      <c r="N381" s="205"/>
      <c r="O381" s="337" t="s">
        <v>29</v>
      </c>
    </row>
    <row r="382" spans="1:15" ht="16.2"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t="s">
        <v>652</v>
      </c>
      <c r="J382" s="152" t="str">
        <f>IF(VLOOKUP(A382,'Aux - pivots1'!$A:$E,3,0)=0, "",VLOOKUP(A382,'Aux - pivots1'!$A:$E,3,0))</f>
        <v/>
      </c>
      <c r="K382" s="152" t="str">
        <f>IF(VLOOKUP(A382,'Aux - pivots1'!$A:$E,4,0)=0, "",VLOOKUP(A382,'Aux - pivots1'!$A:$E,4,0))</f>
        <v/>
      </c>
      <c r="L382" s="152" t="str">
        <f>IF(VLOOKUP(A382,'Aux - pivots1'!$A:$E,5,0)=0, "",VLOOKUP(A382,'Aux - pivots1'!$A:$E,5,0))</f>
        <v/>
      </c>
      <c r="M382" s="205"/>
      <c r="N382" s="205"/>
      <c r="O382" s="337" t="s">
        <v>29</v>
      </c>
    </row>
    <row r="383" spans="1:15" ht="16.2"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t="s">
        <v>652</v>
      </c>
      <c r="J383" s="152" t="str">
        <f>IF(VLOOKUP(A383,'Aux - pivots1'!$A:$E,3,0)=0, "",VLOOKUP(A383,'Aux - pivots1'!$A:$E,3,0))</f>
        <v/>
      </c>
      <c r="K383" s="152" t="str">
        <f>IF(VLOOKUP(A383,'Aux - pivots1'!$A:$E,4,0)=0, "",VLOOKUP(A383,'Aux - pivots1'!$A:$E,4,0))</f>
        <v/>
      </c>
      <c r="L383" s="152" t="str">
        <f>IF(VLOOKUP(A383,'Aux - pivots1'!$A:$E,5,0)=0, "",VLOOKUP(A383,'Aux - pivots1'!$A:$E,5,0))</f>
        <v/>
      </c>
      <c r="M383" s="205"/>
      <c r="N383" s="205"/>
      <c r="O383" s="337" t="s">
        <v>29</v>
      </c>
    </row>
    <row r="384" spans="1:15" ht="16.2"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t="s">
        <v>652</v>
      </c>
      <c r="J384" s="152" t="str">
        <f>IF(VLOOKUP(A384,'Aux - pivots1'!$A:$E,3,0)=0, "",VLOOKUP(A384,'Aux - pivots1'!$A:$E,3,0))</f>
        <v/>
      </c>
      <c r="K384" s="152" t="str">
        <f>IF(VLOOKUP(A384,'Aux - pivots1'!$A:$E,4,0)=0, "",VLOOKUP(A384,'Aux - pivots1'!$A:$E,4,0))</f>
        <v/>
      </c>
      <c r="L384" s="152" t="str">
        <f>IF(VLOOKUP(A384,'Aux - pivots1'!$A:$E,5,0)=0, "",VLOOKUP(A384,'Aux - pivots1'!$A:$E,5,0))</f>
        <v/>
      </c>
      <c r="M384" s="205"/>
      <c r="N384" s="205"/>
      <c r="O384" s="337" t="s">
        <v>29</v>
      </c>
    </row>
    <row r="385" spans="1:15" ht="16.2"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52" t="str">
        <f>IF(VLOOKUP(A385,'Aux - pivots1'!$A:$E,3,0)=0, "",VLOOKUP(A385,'Aux - pivots1'!$A:$E,3,0))</f>
        <v/>
      </c>
      <c r="K385" s="152" t="str">
        <f>IF(VLOOKUP(A385,'Aux - pivots1'!$A:$E,4,0)=0, "",VLOOKUP(A385,'Aux - pivots1'!$A:$E,4,0))</f>
        <v/>
      </c>
      <c r="L385" s="152" t="str">
        <f>IF(VLOOKUP(A385,'Aux - pivots1'!$A:$E,5,0)=0, "",VLOOKUP(A385,'Aux - pivots1'!$A:$E,5,0))</f>
        <v/>
      </c>
      <c r="M385" s="205"/>
      <c r="N385" s="205"/>
      <c r="O385" s="337" t="s">
        <v>29</v>
      </c>
    </row>
    <row r="386" spans="1:15" ht="16.2"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52" t="str">
        <f>IF(VLOOKUP(A386,'Aux - pivots1'!$A:$E,3,0)=0, "",VLOOKUP(A386,'Aux - pivots1'!$A:$E,3,0))</f>
        <v/>
      </c>
      <c r="K386" s="152" t="str">
        <f>IF(VLOOKUP(A386,'Aux - pivots1'!$A:$E,4,0)=0, "",VLOOKUP(A386,'Aux - pivots1'!$A:$E,4,0))</f>
        <v/>
      </c>
      <c r="L386" s="152" t="str">
        <f>IF(VLOOKUP(A386,'Aux - pivots1'!$A:$E,5,0)=0, "",VLOOKUP(A386,'Aux - pivots1'!$A:$E,5,0))</f>
        <v/>
      </c>
      <c r="M386" s="205"/>
      <c r="N386" s="205"/>
      <c r="O386" s="337" t="s">
        <v>29</v>
      </c>
    </row>
    <row r="387" spans="1:15" ht="16.2"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52" t="str">
        <f>IF(VLOOKUP(A387,'Aux - pivots1'!$A:$E,3,0)=0, "",VLOOKUP(A387,'Aux - pivots1'!$A:$E,3,0))</f>
        <v/>
      </c>
      <c r="K387" s="152" t="str">
        <f>IF(VLOOKUP(A387,'Aux - pivots1'!$A:$E,4,0)=0, "",VLOOKUP(A387,'Aux - pivots1'!$A:$E,4,0))</f>
        <v/>
      </c>
      <c r="L387" s="152" t="str">
        <f>IF(VLOOKUP(A387,'Aux - pivots1'!$A:$E,5,0)=0, "",VLOOKUP(A387,'Aux - pivots1'!$A:$E,5,0))</f>
        <v/>
      </c>
      <c r="M387" s="205"/>
      <c r="N387" s="205"/>
      <c r="O387" s="337" t="s">
        <v>29</v>
      </c>
    </row>
    <row r="388" spans="1:15" ht="16.2"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t="s">
        <v>654</v>
      </c>
      <c r="J388" s="152" t="str">
        <f>IF(VLOOKUP(A388,'Aux - pivots1'!$A:$E,3,0)=0, "",VLOOKUP(A388,'Aux - pivots1'!$A:$E,3,0))</f>
        <v/>
      </c>
      <c r="K388" s="152" t="str">
        <f>IF(VLOOKUP(A388,'Aux - pivots1'!$A:$E,4,0)=0, "",VLOOKUP(A388,'Aux - pivots1'!$A:$E,4,0))</f>
        <v/>
      </c>
      <c r="L388" s="152" t="str">
        <f>IF(VLOOKUP(A388,'Aux - pivots1'!$A:$E,5,0)=0, "",VLOOKUP(A388,'Aux - pivots1'!$A:$E,5,0))</f>
        <v/>
      </c>
      <c r="M388" s="205"/>
      <c r="N388" s="205"/>
      <c r="O388" s="337" t="s">
        <v>29</v>
      </c>
    </row>
    <row r="389" spans="1:15" ht="16.2"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52" t="str">
        <f>IF(VLOOKUP(A389,'Aux - pivots1'!$A:$E,3,0)=0, "",VLOOKUP(A389,'Aux - pivots1'!$A:$E,3,0))</f>
        <v/>
      </c>
      <c r="K389" s="152" t="str">
        <f>IF(VLOOKUP(A389,'Aux - pivots1'!$A:$E,4,0)=0, "",VLOOKUP(A389,'Aux - pivots1'!$A:$E,4,0))</f>
        <v/>
      </c>
      <c r="L389" s="152" t="str">
        <f>IF(VLOOKUP(A389,'Aux - pivots1'!$A:$E,5,0)=0, "",VLOOKUP(A389,'Aux - pivots1'!$A:$E,5,0))</f>
        <v/>
      </c>
      <c r="M389" s="205"/>
      <c r="N389" s="205"/>
      <c r="O389" s="337" t="s">
        <v>29</v>
      </c>
    </row>
    <row r="390" spans="1:15" ht="16.2"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52" t="str">
        <f>IF(VLOOKUP(A390,'Aux - pivots1'!$A:$E,3,0)=0, "",VLOOKUP(A390,'Aux - pivots1'!$A:$E,3,0))</f>
        <v/>
      </c>
      <c r="K390" s="152" t="str">
        <f>IF(VLOOKUP(A390,'Aux - pivots1'!$A:$E,4,0)=0, "",VLOOKUP(A390,'Aux - pivots1'!$A:$E,4,0))</f>
        <v/>
      </c>
      <c r="L390" s="152" t="str">
        <f>IF(VLOOKUP(A390,'Aux - pivots1'!$A:$E,5,0)=0, "",VLOOKUP(A390,'Aux - pivots1'!$A:$E,5,0))</f>
        <v/>
      </c>
      <c r="M390" s="205"/>
      <c r="N390" s="205"/>
      <c r="O390" s="337" t="s">
        <v>29</v>
      </c>
    </row>
    <row r="391" spans="1:15" ht="16.2"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52" t="str">
        <f>IF(VLOOKUP(A391,'Aux - pivots1'!$A:$E,3,0)=0, "",VLOOKUP(A391,'Aux - pivots1'!$A:$E,3,0))</f>
        <v/>
      </c>
      <c r="K391" s="152" t="str">
        <f>IF(VLOOKUP(A391,'Aux - pivots1'!$A:$E,4,0)=0, "",VLOOKUP(A391,'Aux - pivots1'!$A:$E,4,0))</f>
        <v/>
      </c>
      <c r="L391" s="152" t="str">
        <f>IF(VLOOKUP(A391,'Aux - pivots1'!$A:$E,5,0)=0, "",VLOOKUP(A391,'Aux - pivots1'!$A:$E,5,0))</f>
        <v/>
      </c>
      <c r="M391" s="205"/>
      <c r="N391" s="205"/>
      <c r="O391" s="337" t="s">
        <v>29</v>
      </c>
    </row>
    <row r="392" spans="1:15" ht="16.2"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52" t="str">
        <f>IF(VLOOKUP(A392,'Aux - pivots1'!$A:$E,3,0)=0, "",VLOOKUP(A392,'Aux - pivots1'!$A:$E,3,0))</f>
        <v/>
      </c>
      <c r="K392" s="152" t="str">
        <f>IF(VLOOKUP(A392,'Aux - pivots1'!$A:$E,4,0)=0, "",VLOOKUP(A392,'Aux - pivots1'!$A:$E,4,0))</f>
        <v/>
      </c>
      <c r="L392" s="152" t="str">
        <f>IF(VLOOKUP(A392,'Aux - pivots1'!$A:$E,5,0)=0, "",VLOOKUP(A392,'Aux - pivots1'!$A:$E,5,0))</f>
        <v/>
      </c>
      <c r="M392" s="205"/>
      <c r="N392" s="205"/>
      <c r="O392" s="337" t="s">
        <v>29</v>
      </c>
    </row>
    <row r="393" spans="1:15" ht="16.2"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52" t="str">
        <f>IF(VLOOKUP(A393,'Aux - pivots1'!$A:$E,3,0)=0, "",VLOOKUP(A393,'Aux - pivots1'!$A:$E,3,0))</f>
        <v/>
      </c>
      <c r="K393" s="152" t="str">
        <f>IF(VLOOKUP(A393,'Aux - pivots1'!$A:$E,4,0)=0, "",VLOOKUP(A393,'Aux - pivots1'!$A:$E,4,0))</f>
        <v/>
      </c>
      <c r="L393" s="152" t="str">
        <f>IF(VLOOKUP(A393,'Aux - pivots1'!$A:$E,5,0)=0, "",VLOOKUP(A393,'Aux - pivots1'!$A:$E,5,0))</f>
        <v/>
      </c>
      <c r="M393" s="205"/>
      <c r="N393" s="205"/>
      <c r="O393" s="337" t="s">
        <v>29</v>
      </c>
    </row>
    <row r="394" spans="1:15" ht="16.2"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t="s">
        <v>652</v>
      </c>
      <c r="J394" s="152" t="str">
        <f>IF(VLOOKUP(A394,'Aux - pivots1'!$A:$E,3,0)=0, "",VLOOKUP(A394,'Aux - pivots1'!$A:$E,3,0))</f>
        <v/>
      </c>
      <c r="K394" s="152" t="str">
        <f>IF(VLOOKUP(A394,'Aux - pivots1'!$A:$E,4,0)=0, "",VLOOKUP(A394,'Aux - pivots1'!$A:$E,4,0))</f>
        <v/>
      </c>
      <c r="L394" s="152" t="str">
        <f>IF(VLOOKUP(A394,'Aux - pivots1'!$A:$E,5,0)=0, "",VLOOKUP(A394,'Aux - pivots1'!$A:$E,5,0))</f>
        <v/>
      </c>
      <c r="M394" s="205"/>
      <c r="N394" s="205"/>
      <c r="O394" s="337" t="s">
        <v>29</v>
      </c>
    </row>
    <row r="395" spans="1:15" ht="16.2"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52" t="str">
        <f>IF(VLOOKUP(A395,'Aux - pivots1'!$A:$E,3,0)=0, "",VLOOKUP(A395,'Aux - pivots1'!$A:$E,3,0))</f>
        <v/>
      </c>
      <c r="K395" s="152" t="str">
        <f>IF(VLOOKUP(A395,'Aux - pivots1'!$A:$E,4,0)=0, "",VLOOKUP(A395,'Aux - pivots1'!$A:$E,4,0))</f>
        <v/>
      </c>
      <c r="L395" s="152" t="str">
        <f>IF(VLOOKUP(A395,'Aux - pivots1'!$A:$E,5,0)=0, "",VLOOKUP(A395,'Aux - pivots1'!$A:$E,5,0))</f>
        <v/>
      </c>
      <c r="M395" s="205"/>
      <c r="N395" s="205"/>
      <c r="O395" s="337" t="s">
        <v>29</v>
      </c>
    </row>
    <row r="396" spans="1:15" ht="16.2"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52" t="str">
        <f>IF(VLOOKUP(A396,'Aux - pivots1'!$A:$E,3,0)=0, "",VLOOKUP(A396,'Aux - pivots1'!$A:$E,3,0))</f>
        <v/>
      </c>
      <c r="K396" s="152" t="str">
        <f>IF(VLOOKUP(A396,'Aux - pivots1'!$A:$E,4,0)=0, "",VLOOKUP(A396,'Aux - pivots1'!$A:$E,4,0))</f>
        <v/>
      </c>
      <c r="L396" s="152" t="str">
        <f>IF(VLOOKUP(A396,'Aux - pivots1'!$A:$E,5,0)=0, "",VLOOKUP(A396,'Aux - pivots1'!$A:$E,5,0))</f>
        <v/>
      </c>
      <c r="M396" s="205"/>
      <c r="N396" s="205"/>
      <c r="O396" s="337" t="s">
        <v>29</v>
      </c>
    </row>
    <row r="397" spans="1:15" ht="16.2" customHeight="1">
      <c r="A397" s="29" t="str">
        <f t="shared" ref="A397:A480" si="6">E397&amp;F397</f>
        <v>modesg_inp_project_financecodigo_unidade</v>
      </c>
      <c r="B397" s="141" t="s">
        <v>26</v>
      </c>
      <c r="C397" s="137" t="s">
        <v>181</v>
      </c>
      <c r="D397" s="133" t="s">
        <v>40</v>
      </c>
      <c r="E397" s="134" t="s">
        <v>2117</v>
      </c>
      <c r="F397" s="133" t="s">
        <v>2118</v>
      </c>
      <c r="G397" s="135" t="str">
        <f>VLOOKUP(A397,Plano_V3!$A$26:$G$753,7,0)</f>
        <v>1. Concluído</v>
      </c>
      <c r="H397" s="135"/>
      <c r="I397" s="142"/>
      <c r="J397" s="152" t="str">
        <f>IF(VLOOKUP(A397,'Aux - pivots1'!$A:$E,3,0)=0, "",VLOOKUP(A397,'Aux - pivots1'!$A:$E,3,0))</f>
        <v/>
      </c>
      <c r="K397" s="152" t="str">
        <f>IF(VLOOKUP(A397,'Aux - pivots1'!$A:$E,4,0)=0, "",VLOOKUP(A397,'Aux - pivots1'!$A:$E,4,0))</f>
        <v/>
      </c>
      <c r="L397" s="152" t="str">
        <f>IF(VLOOKUP(A397,'Aux - pivots1'!$A:$E,5,0)=0, "",VLOOKUP(A397,'Aux - pivots1'!$A:$E,5,0))</f>
        <v/>
      </c>
      <c r="M397" s="205"/>
      <c r="N397" s="205"/>
      <c r="O397" s="337"/>
    </row>
    <row r="398" spans="1:15" ht="16.2" customHeight="1">
      <c r="A398" s="29" t="str">
        <f t="shared" si="6"/>
        <v>modesg_inp_project_financenome_unidade</v>
      </c>
      <c r="B398" s="141" t="s">
        <v>26</v>
      </c>
      <c r="C398" s="137" t="s">
        <v>181</v>
      </c>
      <c r="D398" s="133" t="s">
        <v>40</v>
      </c>
      <c r="E398" s="134" t="s">
        <v>2117</v>
      </c>
      <c r="F398" s="133" t="s">
        <v>2119</v>
      </c>
      <c r="G398" s="135" t="str">
        <f>VLOOKUP(A398,Plano_V3!$A$26:$G$753,7,0)</f>
        <v>1. Concluído</v>
      </c>
      <c r="H398" s="135"/>
      <c r="I398" s="142"/>
      <c r="J398" s="152" t="str">
        <f>IF(VLOOKUP(A397,'Aux - pivots1'!$A:$E,3,0)=0, "",VLOOKUP(A397,'Aux - pivots1'!$A:$E,3,0))</f>
        <v/>
      </c>
      <c r="K398" s="152" t="str">
        <f>IF(VLOOKUP(A397,'Aux - pivots1'!$A:$E,4,0)=0, "",VLOOKUP(A397,'Aux - pivots1'!$A:$E,4,0))</f>
        <v/>
      </c>
      <c r="L398" s="152" t="str">
        <f>IF(VLOOKUP(A397,'Aux - pivots1'!$A:$E,5,0)=0, "",VLOOKUP(A397,'Aux - pivots1'!$A:$E,5,0))</f>
        <v/>
      </c>
      <c r="M398" s="205"/>
      <c r="N398" s="205"/>
      <c r="O398" s="337"/>
    </row>
    <row r="399" spans="1:15" ht="16.2" customHeight="1">
      <c r="A399" s="29" t="str">
        <f t="shared" si="6"/>
        <v>modesg_inp_project_financekgl</v>
      </c>
      <c r="B399" s="141" t="s">
        <v>26</v>
      </c>
      <c r="C399" s="137" t="s">
        <v>181</v>
      </c>
      <c r="D399" s="133" t="s">
        <v>40</v>
      </c>
      <c r="E399" s="134" t="s">
        <v>2117</v>
      </c>
      <c r="F399" s="133" t="s">
        <v>2120</v>
      </c>
      <c r="G399" s="135" t="str">
        <f>VLOOKUP(A399,Plano_V3!$A$26:$G$753,7,0)</f>
        <v>1. Concluído</v>
      </c>
      <c r="H399" s="135"/>
      <c r="I399" s="142"/>
      <c r="J399" s="152" t="str">
        <f>IF(VLOOKUP(A397,'Aux - pivots1'!$A:$E,3,0)=0, "",VLOOKUP(A397,'Aux - pivots1'!$A:$E,3,0))</f>
        <v/>
      </c>
      <c r="K399" s="152" t="str">
        <f>IF(VLOOKUP(A397,'Aux - pivots1'!$A:$E,4,0)=0, "",VLOOKUP(A397,'Aux - pivots1'!$A:$E,4,0))</f>
        <v/>
      </c>
      <c r="L399" s="152" t="str">
        <f>IF(VLOOKUP(A397,'Aux - pivots1'!$A:$E,5,0)=0, "",VLOOKUP(A397,'Aux - pivots1'!$A:$E,5,0))</f>
        <v/>
      </c>
      <c r="M399" s="205"/>
      <c r="N399" s="205"/>
      <c r="O399" s="337"/>
    </row>
    <row r="400" spans="1:15" ht="16.2" customHeight="1">
      <c r="A400" s="29" t="str">
        <f t="shared" si="6"/>
        <v>modesg_inp_project_financenome_legal_kgl</v>
      </c>
      <c r="B400" s="141" t="s">
        <v>26</v>
      </c>
      <c r="C400" s="137" t="s">
        <v>181</v>
      </c>
      <c r="D400" s="133" t="s">
        <v>40</v>
      </c>
      <c r="E400" s="134" t="s">
        <v>2117</v>
      </c>
      <c r="F400" s="133" t="s">
        <v>2121</v>
      </c>
      <c r="G400" s="135" t="str">
        <f>VLOOKUP(A400,Plano_V3!$A$26:$G$753,7,0)</f>
        <v>1. Concluído</v>
      </c>
      <c r="H400" s="135"/>
      <c r="I400" s="142"/>
      <c r="J400" s="152" t="str">
        <f>IF(VLOOKUP(A397,'Aux - pivots1'!$A:$E,3,0)=0, "",VLOOKUP(A397,'Aux - pivots1'!$A:$E,3,0))</f>
        <v/>
      </c>
      <c r="K400" s="152" t="str">
        <f>IF(VLOOKUP(A397,'Aux - pivots1'!$A:$E,4,0)=0, "",VLOOKUP(A397,'Aux - pivots1'!$A:$E,4,0))</f>
        <v/>
      </c>
      <c r="L400" s="152" t="str">
        <f>IF(VLOOKUP(A397,'Aux - pivots1'!$A:$E,5,0)=0, "",VLOOKUP(A397,'Aux - pivots1'!$A:$E,5,0))</f>
        <v/>
      </c>
      <c r="M400" s="205"/>
      <c r="N400" s="205"/>
      <c r="O400" s="337"/>
    </row>
    <row r="401" spans="1:17" ht="16.2" customHeight="1">
      <c r="A401" s="29" t="str">
        <f t="shared" si="6"/>
        <v>modesg_inp_project_financekgl_top_entidade_principal</v>
      </c>
      <c r="B401" s="141" t="s">
        <v>26</v>
      </c>
      <c r="C401" s="137" t="s">
        <v>181</v>
      </c>
      <c r="D401" s="133" t="s">
        <v>40</v>
      </c>
      <c r="E401" s="134" t="s">
        <v>2117</v>
      </c>
      <c r="F401" s="133" t="s">
        <v>2122</v>
      </c>
      <c r="G401" s="135" t="str">
        <f>VLOOKUP(A401,Plano_V3!$A$26:$G$753,7,0)</f>
        <v>1. Concluído</v>
      </c>
      <c r="H401" s="135"/>
      <c r="I401" s="142"/>
      <c r="J401" s="152" t="str">
        <f>IF(VLOOKUP(A397,'Aux - pivots1'!$A:$E,3,0)=0, "",VLOOKUP(A397,'Aux - pivots1'!$A:$E,3,0))</f>
        <v/>
      </c>
      <c r="K401" s="152" t="str">
        <f>IF(VLOOKUP(A397,'Aux - pivots1'!$A:$E,4,0)=0, "",VLOOKUP(A397,'Aux - pivots1'!$A:$E,4,0))</f>
        <v/>
      </c>
      <c r="L401" s="152" t="str">
        <f>IF(VLOOKUP(A397,'Aux - pivots1'!$A:$E,5,0)=0, "",VLOOKUP(A397,'Aux - pivots1'!$A:$E,5,0))</f>
        <v/>
      </c>
      <c r="M401" s="205"/>
      <c r="N401" s="205"/>
      <c r="O401" s="337"/>
    </row>
    <row r="402" spans="1:17" ht="16.2" customHeight="1">
      <c r="A402" s="29" t="str">
        <f t="shared" si="6"/>
        <v>modesg_inp_project_financekgl_entidade_principal</v>
      </c>
      <c r="B402" s="141" t="s">
        <v>26</v>
      </c>
      <c r="C402" s="137" t="s">
        <v>181</v>
      </c>
      <c r="D402" s="133" t="s">
        <v>40</v>
      </c>
      <c r="E402" s="134" t="s">
        <v>2117</v>
      </c>
      <c r="F402" s="133" t="s">
        <v>2123</v>
      </c>
      <c r="G402" s="135" t="str">
        <f>VLOOKUP(A402,Plano_V3!$A$26:$G$753,7,0)</f>
        <v>1. Concluído</v>
      </c>
      <c r="H402" s="135"/>
      <c r="I402" s="142"/>
      <c r="J402" s="152" t="str">
        <f>IF(VLOOKUP(A397,'Aux - pivots1'!$A:$E,3,0)=0, "",VLOOKUP(A397,'Aux - pivots1'!$A:$E,3,0))</f>
        <v/>
      </c>
      <c r="K402" s="152" t="str">
        <f>IF(VLOOKUP(A397,'Aux - pivots1'!$A:$E,4,0)=0, "",VLOOKUP(A397,'Aux - pivots1'!$A:$E,4,0))</f>
        <v/>
      </c>
      <c r="L402" s="152" t="str">
        <f>IF(VLOOKUP(A397,'Aux - pivots1'!$A:$E,5,0)=0, "",VLOOKUP(A397,'Aux - pivots1'!$A:$E,5,0))</f>
        <v/>
      </c>
      <c r="M402" s="205"/>
      <c r="N402" s="205"/>
      <c r="O402" s="337"/>
    </row>
    <row r="403" spans="1:17" ht="16.2" customHeight="1">
      <c r="A403" s="29" t="str">
        <f t="shared" si="6"/>
        <v>modesg_inp_project_financenome_top_entidade_principal</v>
      </c>
      <c r="B403" s="141" t="s">
        <v>26</v>
      </c>
      <c r="C403" s="137" t="s">
        <v>181</v>
      </c>
      <c r="D403" s="133" t="s">
        <v>40</v>
      </c>
      <c r="E403" s="134" t="s">
        <v>2117</v>
      </c>
      <c r="F403" s="133" t="s">
        <v>2124</v>
      </c>
      <c r="G403" s="135" t="str">
        <f>VLOOKUP(A403,Plano_V3!$A$26:$G$753,7,0)</f>
        <v>1. Concluído</v>
      </c>
      <c r="H403" s="135"/>
      <c r="I403" s="142"/>
      <c r="J403" s="152" t="str">
        <f>IF(VLOOKUP(A397,'Aux - pivots1'!$A:$E,3,0)=0, "",VLOOKUP(A397,'Aux - pivots1'!$A:$E,3,0))</f>
        <v/>
      </c>
      <c r="K403" s="152" t="str">
        <f>IF(VLOOKUP(A397,'Aux - pivots1'!$A:$E,4,0)=0, "",VLOOKUP(A397,'Aux - pivots1'!$A:$E,4,0))</f>
        <v/>
      </c>
      <c r="L403" s="152" t="str">
        <f>IF(VLOOKUP(A397,'Aux - pivots1'!$A:$E,5,0)=0, "",VLOOKUP(A397,'Aux - pivots1'!$A:$E,5,0))</f>
        <v/>
      </c>
      <c r="M403" s="205"/>
      <c r="N403" s="205"/>
      <c r="O403" s="337"/>
    </row>
    <row r="404" spans="1:17" ht="16.2" customHeight="1">
      <c r="A404" s="29" t="str">
        <f t="shared" si="6"/>
        <v>modesg_inp_project_financecodigo_unidade_operativa</v>
      </c>
      <c r="B404" s="141" t="s">
        <v>26</v>
      </c>
      <c r="C404" s="137" t="s">
        <v>181</v>
      </c>
      <c r="D404" s="133" t="s">
        <v>40</v>
      </c>
      <c r="E404" s="134" t="s">
        <v>2117</v>
      </c>
      <c r="F404" s="133" t="s">
        <v>2125</v>
      </c>
      <c r="G404" s="135" t="str">
        <f>VLOOKUP(A404,Plano_V3!$A$26:$G$753,7,0)</f>
        <v>1. Concluído</v>
      </c>
      <c r="H404" s="135"/>
      <c r="I404" s="142"/>
      <c r="J404" s="152" t="str">
        <f>IF(VLOOKUP(A397,'Aux - pivots1'!$A:$E,3,0)=0, "",VLOOKUP(A397,'Aux - pivots1'!$A:$E,3,0))</f>
        <v/>
      </c>
      <c r="K404" s="152" t="str">
        <f>IF(VLOOKUP(A397,'Aux - pivots1'!$A:$E,4,0)=0, "",VLOOKUP(A397,'Aux - pivots1'!$A:$E,4,0))</f>
        <v/>
      </c>
      <c r="L404" s="152" t="str">
        <f>IF(VLOOKUP(A397,'Aux - pivots1'!$A:$E,5,0)=0, "",VLOOKUP(A397,'Aux - pivots1'!$A:$E,5,0))</f>
        <v/>
      </c>
      <c r="M404" s="205"/>
      <c r="N404" s="205"/>
      <c r="O404" s="337"/>
    </row>
    <row r="405" spans="1:17" ht="16.2" customHeight="1">
      <c r="A405" s="29" t="str">
        <f t="shared" si="6"/>
        <v>modesg_inp_project_financenome_entidade_operativa</v>
      </c>
      <c r="B405" s="141" t="s">
        <v>26</v>
      </c>
      <c r="C405" s="137" t="s">
        <v>181</v>
      </c>
      <c r="D405" s="133" t="s">
        <v>40</v>
      </c>
      <c r="E405" s="134" t="s">
        <v>2117</v>
      </c>
      <c r="F405" s="133" t="s">
        <v>2126</v>
      </c>
      <c r="G405" s="135" t="str">
        <f>VLOOKUP(A405,Plano_V3!$A$26:$G$753,7,0)</f>
        <v>1. Concluído</v>
      </c>
      <c r="H405" s="135"/>
      <c r="I405" s="142"/>
      <c r="J405" s="152" t="str">
        <f>IF(VLOOKUP(A397,'Aux - pivots1'!$A:$E,3,0)=0, "",VLOOKUP(A397,'Aux - pivots1'!$A:$E,3,0))</f>
        <v/>
      </c>
      <c r="K405" s="152" t="str">
        <f>IF(VLOOKUP(A397,'Aux - pivots1'!$A:$E,4,0)=0, "",VLOOKUP(A397,'Aux - pivots1'!$A:$E,4,0))</f>
        <v/>
      </c>
      <c r="L405" s="152" t="str">
        <f>IF(VLOOKUP(A397,'Aux - pivots1'!$A:$E,5,0)=0, "",VLOOKUP(A397,'Aux - pivots1'!$A:$E,5,0))</f>
        <v/>
      </c>
      <c r="M405" s="205"/>
      <c r="N405" s="205"/>
      <c r="O405" s="337"/>
    </row>
    <row r="406" spans="1:17" ht="16.2"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52" t="str">
        <f>IF(VLOOKUP(A397,'Aux - pivots1'!$A:$E,3,0)=0, "",VLOOKUP(A397,'Aux - pivots1'!$A:$E,3,0))</f>
        <v/>
      </c>
      <c r="K406" s="152" t="str">
        <f>IF(VLOOKUP(A397,'Aux - pivots1'!$A:$E,4,0)=0, "",VLOOKUP(A397,'Aux - pivots1'!$A:$E,4,0))</f>
        <v/>
      </c>
      <c r="L406" s="152" t="str">
        <f>IF(VLOOKUP(A397,'Aux - pivots1'!$A:$E,5,0)=0, "",VLOOKUP(A397,'Aux - pivots1'!$A:$E,5,0))</f>
        <v/>
      </c>
      <c r="M406" s="205"/>
      <c r="N406" s="205"/>
      <c r="O406" s="337" t="s">
        <v>29</v>
      </c>
    </row>
    <row r="407" spans="1:17" ht="16.2"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2" t="str">
        <f>IF(VLOOKUP(A398,'Aux - pivots1'!$A:$E,3,0)=0, "",VLOOKUP(A398,'Aux - pivots1'!$A:$E,3,0))</f>
        <v/>
      </c>
      <c r="K407" s="152" t="str">
        <f>IF(VLOOKUP(A398,'Aux - pivots1'!$A:$E,4,0)=0, "",VLOOKUP(A398,'Aux - pivots1'!$A:$E,4,0))</f>
        <v/>
      </c>
      <c r="L407" s="152" t="str">
        <f>IF(VLOOKUP(A398,'Aux - pivots1'!$A:$E,5,0)=0, "",VLOOKUP(A398,'Aux - pivots1'!$A:$E,5,0))</f>
        <v/>
      </c>
      <c r="M407" s="205"/>
      <c r="N407" s="205"/>
      <c r="O407" s="337" t="s">
        <v>29</v>
      </c>
    </row>
    <row r="408" spans="1:17" ht="16.2"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2" t="str">
        <f>IF(VLOOKUP(A399,'Aux - pivots1'!$A:$E,3,0)=0, "",VLOOKUP(A399,'Aux - pivots1'!$A:$E,3,0))</f>
        <v/>
      </c>
      <c r="K408" s="152" t="str">
        <f>IF(VLOOKUP(A399,'Aux - pivots1'!$A:$E,4,0)=0, "",VLOOKUP(A399,'Aux - pivots1'!$A:$E,4,0))</f>
        <v/>
      </c>
      <c r="L408" s="152" t="str">
        <f>IF(VLOOKUP(A399,'Aux - pivots1'!$A:$E,5,0)=0, "",VLOOKUP(A399,'Aux - pivots1'!$A:$E,5,0))</f>
        <v/>
      </c>
      <c r="M408" s="205"/>
      <c r="N408" s="205"/>
      <c r="O408" s="337" t="s">
        <v>29</v>
      </c>
    </row>
    <row r="409" spans="1:17" ht="16.2"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2" t="str">
        <f>IF(VLOOKUP(A400,'Aux - pivots1'!$A:$E,3,0)=0, "",VLOOKUP(A400,'Aux - pivots1'!$A:$E,3,0))</f>
        <v/>
      </c>
      <c r="K409" s="152" t="str">
        <f>IF(VLOOKUP(A400,'Aux - pivots1'!$A:$E,4,0)=0, "",VLOOKUP(A400,'Aux - pivots1'!$A:$E,4,0))</f>
        <v/>
      </c>
      <c r="L409" s="152" t="str">
        <f>IF(VLOOKUP(A400,'Aux - pivots1'!$A:$E,5,0)=0, "",VLOOKUP(A400,'Aux - pivots1'!$A:$E,5,0))</f>
        <v/>
      </c>
      <c r="M409" s="205"/>
      <c r="N409" s="205"/>
      <c r="O409" s="337" t="s">
        <v>29</v>
      </c>
    </row>
    <row r="410" spans="1:17" ht="16.2"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2" t="str">
        <f>IF(VLOOKUP(A401,'Aux - pivots1'!$A:$E,3,0)=0, "",VLOOKUP(A401,'Aux - pivots1'!$A:$E,3,0))</f>
        <v/>
      </c>
      <c r="K410" s="152" t="str">
        <f>IF(VLOOKUP(A401,'Aux - pivots1'!$A:$E,4,0)=0, "",VLOOKUP(A401,'Aux - pivots1'!$A:$E,4,0))</f>
        <v/>
      </c>
      <c r="L410" s="152" t="str">
        <f>IF(VLOOKUP(A401,'Aux - pivots1'!$A:$E,5,0)=0, "",VLOOKUP(A401,'Aux - pivots1'!$A:$E,5,0))</f>
        <v/>
      </c>
      <c r="M410" s="205"/>
      <c r="N410" s="205"/>
      <c r="O410" s="337" t="s">
        <v>29</v>
      </c>
    </row>
    <row r="411" spans="1:17" ht="16.2" customHeight="1">
      <c r="A411" s="29" t="str">
        <f t="shared" si="6"/>
        <v>modesg_out_bens_imoveisflg_rsc_fsc_agd</v>
      </c>
      <c r="B411" s="141" t="s">
        <v>26</v>
      </c>
      <c r="C411" s="137" t="s">
        <v>310</v>
      </c>
      <c r="D411" s="133" t="s">
        <v>40</v>
      </c>
      <c r="E411" s="134" t="s">
        <v>311</v>
      </c>
      <c r="F411" s="133" t="s">
        <v>282</v>
      </c>
      <c r="G411" s="135" t="str">
        <f>VLOOKUP(A411,Plano_V3!$A$26:$G$753,7,0)</f>
        <v>2.2 Em Re-especificação</v>
      </c>
      <c r="H411" s="135" t="s">
        <v>1863</v>
      </c>
      <c r="I411" s="142" t="s">
        <v>655</v>
      </c>
      <c r="J411" s="152" t="str">
        <f>IF(VLOOKUP(A402,'Aux - pivots1'!$A:$E,3,0)=0, "",VLOOKUP(A402,'Aux - pivots1'!$A:$E,3,0))</f>
        <v/>
      </c>
      <c r="K411" s="152" t="str">
        <f>IF(VLOOKUP(A402,'Aux - pivots1'!$A:$E,4,0)=0, "",VLOOKUP(A402,'Aux - pivots1'!$A:$E,4,0))</f>
        <v/>
      </c>
      <c r="L411" s="152" t="str">
        <f>IF(VLOOKUP(A402,'Aux - pivots1'!$A:$E,5,0)=0, "",VLOOKUP(A402,'Aux - pivots1'!$A:$E,5,0))</f>
        <v/>
      </c>
      <c r="M411" s="205"/>
      <c r="N411" s="205"/>
      <c r="O411" s="337" t="s">
        <v>29</v>
      </c>
      <c r="Q411" s="268" t="s">
        <v>1884</v>
      </c>
    </row>
    <row r="412" spans="1:17" ht="16.2" customHeight="1">
      <c r="A412" s="29" t="str">
        <f t="shared" si="6"/>
        <v>modesg_out_bens_imoveisflg_rsc_fsc_crnc</v>
      </c>
      <c r="B412" s="141" t="s">
        <v>26</v>
      </c>
      <c r="C412" s="137" t="s">
        <v>310</v>
      </c>
      <c r="D412" s="133" t="s">
        <v>40</v>
      </c>
      <c r="E412" s="134" t="s">
        <v>311</v>
      </c>
      <c r="F412" s="133" t="s">
        <v>283</v>
      </c>
      <c r="G412" s="135" t="str">
        <f>VLOOKUP(A412,Plano_V3!$A$26:$G$753,7,0)</f>
        <v>2.2 Em Re-especificação</v>
      </c>
      <c r="H412" s="135" t="s">
        <v>1863</v>
      </c>
      <c r="I412" s="142" t="s">
        <v>655</v>
      </c>
      <c r="J412" s="152" t="str">
        <f>IF(VLOOKUP(A403,'Aux - pivots1'!$A:$E,3,0)=0, "",VLOOKUP(A403,'Aux - pivots1'!$A:$E,3,0))</f>
        <v/>
      </c>
      <c r="K412" s="152" t="str">
        <f>IF(VLOOKUP(A403,'Aux - pivots1'!$A:$E,4,0)=0, "",VLOOKUP(A403,'Aux - pivots1'!$A:$E,4,0))</f>
        <v/>
      </c>
      <c r="L412" s="152" t="str">
        <f>IF(VLOOKUP(A403,'Aux - pivots1'!$A:$E,5,0)=0, "",VLOOKUP(A403,'Aux - pivots1'!$A:$E,5,0))</f>
        <v/>
      </c>
      <c r="M412" s="205"/>
      <c r="N412" s="205"/>
      <c r="O412" s="337" t="s">
        <v>29</v>
      </c>
      <c r="Q412" s="268" t="s">
        <v>1884</v>
      </c>
    </row>
    <row r="413" spans="1:17" ht="16.2" customHeight="1">
      <c r="A413" s="29" t="str">
        <f t="shared" si="6"/>
        <v>modesg_out_bens_imoveisorigem_flg_rsc_fsc_agd</v>
      </c>
      <c r="B413" s="141" t="s">
        <v>26</v>
      </c>
      <c r="C413" s="137" t="s">
        <v>310</v>
      </c>
      <c r="D413" s="133" t="s">
        <v>40</v>
      </c>
      <c r="E413" s="134" t="s">
        <v>311</v>
      </c>
      <c r="F413" s="133" t="s">
        <v>317</v>
      </c>
      <c r="G413" s="135" t="str">
        <f>VLOOKUP(A413,Plano_V3!$A$26:$G$753,7,0)</f>
        <v>1. Concluído</v>
      </c>
      <c r="H413" s="135" t="s">
        <v>1863</v>
      </c>
      <c r="I413" s="142" t="s">
        <v>655</v>
      </c>
      <c r="J413" s="152" t="str">
        <f>IF(VLOOKUP(A404,'Aux - pivots1'!$A:$E,3,0)=0, "",VLOOKUP(A404,'Aux - pivots1'!$A:$E,3,0))</f>
        <v/>
      </c>
      <c r="K413" s="152" t="str">
        <f>IF(VLOOKUP(A404,'Aux - pivots1'!$A:$E,4,0)=0, "",VLOOKUP(A404,'Aux - pivots1'!$A:$E,4,0))</f>
        <v/>
      </c>
      <c r="L413" s="152" t="str">
        <f>IF(VLOOKUP(A404,'Aux - pivots1'!$A:$E,5,0)=0, "",VLOOKUP(A404,'Aux - pivots1'!$A:$E,5,0))</f>
        <v/>
      </c>
      <c r="M413" s="205"/>
      <c r="N413" s="205"/>
      <c r="O413" s="337" t="s">
        <v>29</v>
      </c>
    </row>
    <row r="414" spans="1:17" ht="16.2" customHeight="1">
      <c r="A414" s="29" t="str">
        <f t="shared" si="6"/>
        <v>modesg_out_bens_imoveisorigem_flg_rsc_fsc_crnc</v>
      </c>
      <c r="B414" s="141" t="s">
        <v>26</v>
      </c>
      <c r="C414" s="137" t="s">
        <v>310</v>
      </c>
      <c r="D414" s="133" t="s">
        <v>40</v>
      </c>
      <c r="E414" s="134" t="s">
        <v>311</v>
      </c>
      <c r="F414" s="133" t="s">
        <v>318</v>
      </c>
      <c r="G414" s="135" t="str">
        <f>VLOOKUP(A414,Plano_V3!$A$26:$G$753,7,0)</f>
        <v>1. Concluído</v>
      </c>
      <c r="H414" s="135" t="s">
        <v>1863</v>
      </c>
      <c r="I414" s="142" t="s">
        <v>655</v>
      </c>
      <c r="J414" s="152" t="str">
        <f>IF(VLOOKUP(A405,'Aux - pivots1'!$A:$E,3,0)=0, "",VLOOKUP(A405,'Aux - pivots1'!$A:$E,3,0))</f>
        <v/>
      </c>
      <c r="K414" s="152" t="str">
        <f>IF(VLOOKUP(A405,'Aux - pivots1'!$A:$E,4,0)=0, "",VLOOKUP(A405,'Aux - pivots1'!$A:$E,4,0))</f>
        <v/>
      </c>
      <c r="L414" s="152" t="str">
        <f>IF(VLOOKUP(A405,'Aux - pivots1'!$A:$E,5,0)=0, "",VLOOKUP(A405,'Aux - pivots1'!$A:$E,5,0))</f>
        <v/>
      </c>
      <c r="M414" s="205"/>
      <c r="N414" s="205"/>
      <c r="O414" s="337" t="s">
        <v>29</v>
      </c>
    </row>
    <row r="415" spans="1:17" ht="16.2"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52" t="str">
        <f>IF(VLOOKUP(A406,'Aux - pivots1'!$A:$E,3,0)=0, "",VLOOKUP(A406,'Aux - pivots1'!$A:$E,3,0))</f>
        <v/>
      </c>
      <c r="K415" s="152" t="str">
        <f>IF(VLOOKUP(A406,'Aux - pivots1'!$A:$E,4,0)=0, "",VLOOKUP(A406,'Aux - pivots1'!$A:$E,4,0))</f>
        <v/>
      </c>
      <c r="L415" s="152" t="str">
        <f>IF(VLOOKUP(A406,'Aux - pivots1'!$A:$E,5,0)=0, "",VLOOKUP(A406,'Aux - pivots1'!$A:$E,5,0))</f>
        <v/>
      </c>
      <c r="M415" s="205"/>
      <c r="N415" s="205"/>
      <c r="O415" s="337" t="s">
        <v>29</v>
      </c>
    </row>
    <row r="416" spans="1:17" ht="16.2"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52" t="str">
        <f>IF(VLOOKUP(A407,'Aux - pivots1'!$A:$E,3,0)=0, "",VLOOKUP(A407,'Aux - pivots1'!$A:$E,3,0))</f>
        <v/>
      </c>
      <c r="K416" s="152" t="str">
        <f>IF(VLOOKUP(A407,'Aux - pivots1'!$A:$E,4,0)=0, "",VLOOKUP(A407,'Aux - pivots1'!$A:$E,4,0))</f>
        <v/>
      </c>
      <c r="L416" s="152" t="str">
        <f>IF(VLOOKUP(A407,'Aux - pivots1'!$A:$E,5,0)=0, "",VLOOKUP(A407,'Aux - pivots1'!$A:$E,5,0))</f>
        <v/>
      </c>
      <c r="M416" s="205"/>
      <c r="N416" s="205"/>
      <c r="O416" s="337" t="s">
        <v>29</v>
      </c>
    </row>
    <row r="417" spans="1:15" ht="16.2"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52" t="str">
        <f>IF(VLOOKUP(A408,'Aux - pivots1'!$A:$E,3,0)=0, "",VLOOKUP(A408,'Aux - pivots1'!$A:$E,3,0))</f>
        <v/>
      </c>
      <c r="K417" s="152" t="str">
        <f>IF(VLOOKUP(A408,'Aux - pivots1'!$A:$E,4,0)=0, "",VLOOKUP(A408,'Aux - pivots1'!$A:$E,4,0))</f>
        <v/>
      </c>
      <c r="L417" s="152" t="str">
        <f>IF(VLOOKUP(A408,'Aux - pivots1'!$A:$E,5,0)=0, "",VLOOKUP(A408,'Aux - pivots1'!$A:$E,5,0))</f>
        <v/>
      </c>
      <c r="M417" s="205"/>
      <c r="N417" s="205"/>
      <c r="O417" s="337" t="s">
        <v>29</v>
      </c>
    </row>
    <row r="418" spans="1:15" ht="16.2"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2" t="str">
        <f>IF(VLOOKUP(A409,'Aux - pivots1'!$A:$E,3,0)=0, "",VLOOKUP(A409,'Aux - pivots1'!$A:$E,3,0))</f>
        <v/>
      </c>
      <c r="K418" s="152" t="str">
        <f>IF(VLOOKUP(A409,'Aux - pivots1'!$A:$E,4,0)=0, "",VLOOKUP(A409,'Aux - pivots1'!$A:$E,4,0))</f>
        <v/>
      </c>
      <c r="L418" s="152" t="str">
        <f>IF(VLOOKUP(A409,'Aux - pivots1'!$A:$E,5,0)=0, "",VLOOKUP(A409,'Aux - pivots1'!$A:$E,5,0))</f>
        <v/>
      </c>
      <c r="M418" s="205"/>
      <c r="N418" s="205"/>
      <c r="O418" s="337" t="s">
        <v>29</v>
      </c>
    </row>
    <row r="419" spans="1:15" ht="16.2"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52" t="str">
        <f>IF(VLOOKUP(A410,'Aux - pivots1'!$A:$E,3,0)=0, "",VLOOKUP(A410,'Aux - pivots1'!$A:$E,3,0))</f>
        <v/>
      </c>
      <c r="K419" s="152" t="str">
        <f>IF(VLOOKUP(A410,'Aux - pivots1'!$A:$E,4,0)=0, "",VLOOKUP(A410,'Aux - pivots1'!$A:$E,4,0))</f>
        <v/>
      </c>
      <c r="L419" s="152" t="str">
        <f>IF(VLOOKUP(A410,'Aux - pivots1'!$A:$E,5,0)=0, "",VLOOKUP(A410,'Aux - pivots1'!$A:$E,5,0))</f>
        <v/>
      </c>
      <c r="M419" s="205"/>
      <c r="N419" s="205"/>
      <c r="O419" s="337" t="s">
        <v>29</v>
      </c>
    </row>
    <row r="420" spans="1:15" ht="16.2"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52" t="str">
        <f>IF(VLOOKUP(A411,'Aux - pivots1'!$A:$E,3,0)=0, "",VLOOKUP(A411,'Aux - pivots1'!$A:$E,3,0))</f>
        <v/>
      </c>
      <c r="K420" s="152" t="str">
        <f>IF(VLOOKUP(A411,'Aux - pivots1'!$A:$E,4,0)=0, "",VLOOKUP(A411,'Aux - pivots1'!$A:$E,4,0))</f>
        <v/>
      </c>
      <c r="L420" s="152" t="str">
        <f>IF(VLOOKUP(A411,'Aux - pivots1'!$A:$E,5,0)=0, "",VLOOKUP(A411,'Aux - pivots1'!$A:$E,5,0))</f>
        <v/>
      </c>
      <c r="M420" s="205"/>
      <c r="N420" s="205"/>
      <c r="O420" s="337" t="s">
        <v>29</v>
      </c>
    </row>
    <row r="421" spans="1:15" ht="16.2"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2" t="str">
        <f>IF(VLOOKUP(A412,'Aux - pivots1'!$A:$E,3,0)=0, "",VLOOKUP(A412,'Aux - pivots1'!$A:$E,3,0))</f>
        <v/>
      </c>
      <c r="K421" s="152" t="str">
        <f>IF(VLOOKUP(A412,'Aux - pivots1'!$A:$E,4,0)=0, "",VLOOKUP(A412,'Aux - pivots1'!$A:$E,4,0))</f>
        <v/>
      </c>
      <c r="L421" s="152" t="str">
        <f>IF(VLOOKUP(A412,'Aux - pivots1'!$A:$E,5,0)=0, "",VLOOKUP(A412,'Aux - pivots1'!$A:$E,5,0))</f>
        <v/>
      </c>
      <c r="M421" s="205"/>
      <c r="N421" s="205"/>
      <c r="O421" s="337" t="s">
        <v>29</v>
      </c>
    </row>
    <row r="422" spans="1:15" ht="16.2"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52" t="str">
        <f>IF(VLOOKUP(A413,'Aux - pivots1'!$A:$E,3,0)=0, "",VLOOKUP(A413,'Aux - pivots1'!$A:$E,3,0))</f>
        <v/>
      </c>
      <c r="K422" s="152" t="str">
        <f>IF(VLOOKUP(A413,'Aux - pivots1'!$A:$E,4,0)=0, "",VLOOKUP(A413,'Aux - pivots1'!$A:$E,4,0))</f>
        <v/>
      </c>
      <c r="L422" s="152" t="str">
        <f>IF(VLOOKUP(A413,'Aux - pivots1'!$A:$E,5,0)=0, "",VLOOKUP(A413,'Aux - pivots1'!$A:$E,5,0))</f>
        <v/>
      </c>
      <c r="M422" s="205"/>
      <c r="N422" s="205"/>
      <c r="O422" s="337" t="s">
        <v>29</v>
      </c>
    </row>
    <row r="423" spans="1:15" ht="16.2"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52" t="str">
        <f>IF(VLOOKUP(A414,'Aux - pivots1'!$A:$E,3,0)=0, "",VLOOKUP(A414,'Aux - pivots1'!$A:$E,3,0))</f>
        <v/>
      </c>
      <c r="K423" s="152" t="str">
        <f>IF(VLOOKUP(A414,'Aux - pivots1'!$A:$E,4,0)=0, "",VLOOKUP(A414,'Aux - pivots1'!$A:$E,4,0))</f>
        <v/>
      </c>
      <c r="L423" s="152" t="str">
        <f>IF(VLOOKUP(A414,'Aux - pivots1'!$A:$E,5,0)=0, "",VLOOKUP(A414,'Aux - pivots1'!$A:$E,5,0))</f>
        <v/>
      </c>
      <c r="M423" s="205"/>
      <c r="N423" s="205"/>
      <c r="O423" s="337" t="s">
        <v>29</v>
      </c>
    </row>
    <row r="424" spans="1:15" ht="16.2"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52" t="str">
        <f>IF(VLOOKUP(A415,'Aux - pivots1'!$A:$E,3,0)=0, "",VLOOKUP(A415,'Aux - pivots1'!$A:$E,3,0))</f>
        <v/>
      </c>
      <c r="K424" s="152" t="str">
        <f>IF(VLOOKUP(A415,'Aux - pivots1'!$A:$E,4,0)=0, "",VLOOKUP(A415,'Aux - pivots1'!$A:$E,4,0))</f>
        <v/>
      </c>
      <c r="L424" s="152" t="str">
        <f>IF(VLOOKUP(A415,'Aux - pivots1'!$A:$E,5,0)=0, "",VLOOKUP(A415,'Aux - pivots1'!$A:$E,5,0))</f>
        <v/>
      </c>
      <c r="M424" s="205"/>
      <c r="N424" s="205"/>
      <c r="O424" s="337" t="s">
        <v>29</v>
      </c>
    </row>
    <row r="425" spans="1:15" ht="16.2"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2" t="str">
        <f>IF(VLOOKUP(A416,'Aux - pivots1'!$A:$E,3,0)=0, "",VLOOKUP(A416,'Aux - pivots1'!$A:$E,3,0))</f>
        <v/>
      </c>
      <c r="K425" s="152" t="str">
        <f>IF(VLOOKUP(A416,'Aux - pivots1'!$A:$E,4,0)=0, "",VLOOKUP(A416,'Aux - pivots1'!$A:$E,4,0))</f>
        <v/>
      </c>
      <c r="L425" s="152" t="str">
        <f>IF(VLOOKUP(A416,'Aux - pivots1'!$A:$E,5,0)=0, "",VLOOKUP(A416,'Aux - pivots1'!$A:$E,5,0))</f>
        <v/>
      </c>
      <c r="M425" s="205"/>
      <c r="N425" s="205"/>
      <c r="O425" s="337" t="s">
        <v>29</v>
      </c>
    </row>
    <row r="426" spans="1:15" ht="16.2"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2" t="str">
        <f>IF(VLOOKUP(A417,'Aux - pivots1'!$A:$E,3,0)=0, "",VLOOKUP(A417,'Aux - pivots1'!$A:$E,3,0))</f>
        <v/>
      </c>
      <c r="K426" s="152" t="str">
        <f>IF(VLOOKUP(A417,'Aux - pivots1'!$A:$E,4,0)=0, "",VLOOKUP(A417,'Aux - pivots1'!$A:$E,4,0))</f>
        <v/>
      </c>
      <c r="L426" s="152" t="str">
        <f>IF(VLOOKUP(A417,'Aux - pivots1'!$A:$E,5,0)=0, "",VLOOKUP(A417,'Aux - pivots1'!$A:$E,5,0))</f>
        <v/>
      </c>
      <c r="M426" s="205"/>
      <c r="N426" s="205"/>
      <c r="O426" s="337" t="s">
        <v>29</v>
      </c>
    </row>
    <row r="427" spans="1:15" ht="16.2"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2" t="str">
        <f>IF(VLOOKUP(A418,'Aux - pivots1'!$A:$E,3,0)=0, "",VLOOKUP(A418,'Aux - pivots1'!$A:$E,3,0))</f>
        <v/>
      </c>
      <c r="K427" s="152" t="str">
        <f>IF(VLOOKUP(A418,'Aux - pivots1'!$A:$E,4,0)=0, "",VLOOKUP(A418,'Aux - pivots1'!$A:$E,4,0))</f>
        <v/>
      </c>
      <c r="L427" s="152" t="str">
        <f>IF(VLOOKUP(A418,'Aux - pivots1'!$A:$E,5,0)=0, "",VLOOKUP(A418,'Aux - pivots1'!$A:$E,5,0))</f>
        <v/>
      </c>
      <c r="M427" s="205"/>
      <c r="N427" s="205"/>
      <c r="O427" s="337" t="s">
        <v>29</v>
      </c>
    </row>
    <row r="428" spans="1:15" ht="16.2"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2" t="str">
        <f>IF(VLOOKUP(A419,'Aux - pivots1'!$A:$E,3,0)=0, "",VLOOKUP(A419,'Aux - pivots1'!$A:$E,3,0))</f>
        <v/>
      </c>
      <c r="K428" s="152" t="str">
        <f>IF(VLOOKUP(A419,'Aux - pivots1'!$A:$E,4,0)=0, "",VLOOKUP(A419,'Aux - pivots1'!$A:$E,4,0))</f>
        <v/>
      </c>
      <c r="L428" s="152" t="str">
        <f>IF(VLOOKUP(A419,'Aux - pivots1'!$A:$E,5,0)=0, "",VLOOKUP(A419,'Aux - pivots1'!$A:$E,5,0))</f>
        <v/>
      </c>
      <c r="M428" s="205"/>
      <c r="N428" s="205"/>
      <c r="O428" s="337" t="s">
        <v>29</v>
      </c>
    </row>
    <row r="429" spans="1:15" ht="16.2"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2" t="str">
        <f>IF(VLOOKUP(A420,'Aux - pivots1'!$A:$E,3,0)=0, "",VLOOKUP(A420,'Aux - pivots1'!$A:$E,3,0))</f>
        <v/>
      </c>
      <c r="K429" s="152" t="str">
        <f>IF(VLOOKUP(A420,'Aux - pivots1'!$A:$E,4,0)=0, "",VLOOKUP(A420,'Aux - pivots1'!$A:$E,4,0))</f>
        <v/>
      </c>
      <c r="L429" s="152" t="str">
        <f>IF(VLOOKUP(A420,'Aux - pivots1'!$A:$E,5,0)=0, "",VLOOKUP(A420,'Aux - pivots1'!$A:$E,5,0))</f>
        <v/>
      </c>
      <c r="M429" s="205"/>
      <c r="N429" s="205"/>
      <c r="O429" s="337" t="s">
        <v>29</v>
      </c>
    </row>
    <row r="430" spans="1:15" ht="16.2"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2" t="str">
        <f>IF(VLOOKUP(A421,'Aux - pivots1'!$A:$E,3,0)=0, "",VLOOKUP(A421,'Aux - pivots1'!$A:$E,3,0))</f>
        <v/>
      </c>
      <c r="K430" s="152" t="str">
        <f>IF(VLOOKUP(A421,'Aux - pivots1'!$A:$E,4,0)=0, "",VLOOKUP(A421,'Aux - pivots1'!$A:$E,4,0))</f>
        <v/>
      </c>
      <c r="L430" s="152" t="str">
        <f>IF(VLOOKUP(A421,'Aux - pivots1'!$A:$E,5,0)=0, "",VLOOKUP(A421,'Aux - pivots1'!$A:$E,5,0))</f>
        <v/>
      </c>
      <c r="M430" s="205"/>
      <c r="N430" s="205"/>
      <c r="O430" s="337" t="s">
        <v>29</v>
      </c>
    </row>
    <row r="431" spans="1:15" ht="16.2"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2" t="str">
        <f>IF(VLOOKUP(A422,'Aux - pivots1'!$A:$E,3,0)=0, "",VLOOKUP(A422,'Aux - pivots1'!$A:$E,3,0))</f>
        <v/>
      </c>
      <c r="K431" s="152" t="str">
        <f>IF(VLOOKUP(A422,'Aux - pivots1'!$A:$E,4,0)=0, "",VLOOKUP(A422,'Aux - pivots1'!$A:$E,4,0))</f>
        <v/>
      </c>
      <c r="L431" s="152" t="str">
        <f>IF(VLOOKUP(A422,'Aux - pivots1'!$A:$E,5,0)=0, "",VLOOKUP(A422,'Aux - pivots1'!$A:$E,5,0))</f>
        <v/>
      </c>
      <c r="M431" s="205"/>
      <c r="N431" s="205"/>
      <c r="O431" s="337" t="s">
        <v>29</v>
      </c>
    </row>
    <row r="432" spans="1:15" ht="16.2"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2" t="str">
        <f>IF(VLOOKUP(A423,'Aux - pivots1'!$A:$E,3,0)=0, "",VLOOKUP(A423,'Aux - pivots1'!$A:$E,3,0))</f>
        <v/>
      </c>
      <c r="K432" s="152" t="str">
        <f>IF(VLOOKUP(A423,'Aux - pivots1'!$A:$E,4,0)=0, "",VLOOKUP(A423,'Aux - pivots1'!$A:$E,4,0))</f>
        <v/>
      </c>
      <c r="L432" s="152" t="str">
        <f>IF(VLOOKUP(A423,'Aux - pivots1'!$A:$E,5,0)=0, "",VLOOKUP(A423,'Aux - pivots1'!$A:$E,5,0))</f>
        <v/>
      </c>
      <c r="M432" s="205"/>
      <c r="N432" s="205"/>
      <c r="O432" s="337" t="s">
        <v>29</v>
      </c>
    </row>
    <row r="433" spans="1:15" ht="16.2"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2" t="str">
        <f>IF(VLOOKUP(A424,'Aux - pivots1'!$A:$E,3,0)=0, "",VLOOKUP(A424,'Aux - pivots1'!$A:$E,3,0))</f>
        <v/>
      </c>
      <c r="K433" s="152" t="str">
        <f>IF(VLOOKUP(A424,'Aux - pivots1'!$A:$E,4,0)=0, "",VLOOKUP(A424,'Aux - pivots1'!$A:$E,4,0))</f>
        <v/>
      </c>
      <c r="L433" s="152" t="str">
        <f>IF(VLOOKUP(A424,'Aux - pivots1'!$A:$E,5,0)=0, "",VLOOKUP(A424,'Aux - pivots1'!$A:$E,5,0))</f>
        <v/>
      </c>
      <c r="M433" s="205"/>
      <c r="N433" s="205"/>
      <c r="O433" s="337" t="s">
        <v>29</v>
      </c>
    </row>
    <row r="434" spans="1:15" ht="16.2"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2" t="str">
        <f>IF(VLOOKUP(A425,'Aux - pivots1'!$A:$E,3,0)=0, "",VLOOKUP(A425,'Aux - pivots1'!$A:$E,3,0))</f>
        <v/>
      </c>
      <c r="K434" s="152" t="str">
        <f>IF(VLOOKUP(A425,'Aux - pivots1'!$A:$E,4,0)=0, "",VLOOKUP(A425,'Aux - pivots1'!$A:$E,4,0))</f>
        <v/>
      </c>
      <c r="L434" s="152" t="str">
        <f>IF(VLOOKUP(A425,'Aux - pivots1'!$A:$E,5,0)=0, "",VLOOKUP(A425,'Aux - pivots1'!$A:$E,5,0))</f>
        <v/>
      </c>
      <c r="M434" s="205"/>
      <c r="N434" s="205"/>
      <c r="O434" s="337" t="s">
        <v>29</v>
      </c>
    </row>
    <row r="435" spans="1:15" ht="16.2"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2" t="str">
        <f>IF(VLOOKUP(A426,'Aux - pivots1'!$A:$E,3,0)=0, "",VLOOKUP(A426,'Aux - pivots1'!$A:$E,3,0))</f>
        <v/>
      </c>
      <c r="K435" s="152" t="str">
        <f>IF(VLOOKUP(A426,'Aux - pivots1'!$A:$E,4,0)=0, "",VLOOKUP(A426,'Aux - pivots1'!$A:$E,4,0))</f>
        <v/>
      </c>
      <c r="L435" s="152" t="str">
        <f>IF(VLOOKUP(A426,'Aux - pivots1'!$A:$E,5,0)=0, "",VLOOKUP(A426,'Aux - pivots1'!$A:$E,5,0))</f>
        <v/>
      </c>
      <c r="M435" s="205"/>
      <c r="N435" s="205"/>
      <c r="O435" s="337" t="s">
        <v>29</v>
      </c>
    </row>
    <row r="436" spans="1:15" ht="16.2"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2" t="str">
        <f>IF(VLOOKUP(A427,'Aux - pivots1'!$A:$E,3,0)=0, "",VLOOKUP(A427,'Aux - pivots1'!$A:$E,3,0))</f>
        <v/>
      </c>
      <c r="K436" s="152" t="str">
        <f>IF(VLOOKUP(A427,'Aux - pivots1'!$A:$E,4,0)=0, "",VLOOKUP(A427,'Aux - pivots1'!$A:$E,4,0))</f>
        <v/>
      </c>
      <c r="L436" s="152" t="str">
        <f>IF(VLOOKUP(A427,'Aux - pivots1'!$A:$E,5,0)=0, "",VLOOKUP(A427,'Aux - pivots1'!$A:$E,5,0))</f>
        <v/>
      </c>
      <c r="M436" s="205"/>
      <c r="N436" s="205"/>
      <c r="O436" s="337" t="s">
        <v>29</v>
      </c>
    </row>
    <row r="437" spans="1:15" ht="16.2"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2" t="str">
        <f>IF(VLOOKUP(A428,'Aux - pivots1'!$A:$E,3,0)=0, "",VLOOKUP(A428,'Aux - pivots1'!$A:$E,3,0))</f>
        <v/>
      </c>
      <c r="K437" s="152" t="str">
        <f>IF(VLOOKUP(A428,'Aux - pivots1'!$A:$E,4,0)=0, "",VLOOKUP(A428,'Aux - pivots1'!$A:$E,4,0))</f>
        <v/>
      </c>
      <c r="L437" s="152" t="str">
        <f>IF(VLOOKUP(A428,'Aux - pivots1'!$A:$E,5,0)=0, "",VLOOKUP(A428,'Aux - pivots1'!$A:$E,5,0))</f>
        <v/>
      </c>
      <c r="M437" s="205"/>
      <c r="N437" s="205"/>
      <c r="O437" s="337" t="s">
        <v>29</v>
      </c>
    </row>
    <row r="438" spans="1:15" ht="16.2"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2" t="str">
        <f>IF(VLOOKUP(A429,'Aux - pivots1'!$A:$E,3,0)=0, "",VLOOKUP(A429,'Aux - pivots1'!$A:$E,3,0))</f>
        <v/>
      </c>
      <c r="K438" s="152" t="str">
        <f>IF(VLOOKUP(A429,'Aux - pivots1'!$A:$E,4,0)=0, "",VLOOKUP(A429,'Aux - pivots1'!$A:$E,4,0))</f>
        <v/>
      </c>
      <c r="L438" s="152" t="str">
        <f>IF(VLOOKUP(A429,'Aux - pivots1'!$A:$E,5,0)=0, "",VLOOKUP(A429,'Aux - pivots1'!$A:$E,5,0))</f>
        <v/>
      </c>
      <c r="M438" s="205"/>
      <c r="N438" s="205"/>
      <c r="O438" s="337" t="s">
        <v>29</v>
      </c>
    </row>
    <row r="439" spans="1:15" ht="16.2"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2" t="str">
        <f>IF(VLOOKUP(A430,'Aux - pivots1'!$A:$E,3,0)=0, "",VLOOKUP(A430,'Aux - pivots1'!$A:$E,3,0))</f>
        <v/>
      </c>
      <c r="K439" s="152" t="str">
        <f>IF(VLOOKUP(A430,'Aux - pivots1'!$A:$E,4,0)=0, "",VLOOKUP(A430,'Aux - pivots1'!$A:$E,4,0))</f>
        <v/>
      </c>
      <c r="L439" s="152" t="str">
        <f>IF(VLOOKUP(A430,'Aux - pivots1'!$A:$E,5,0)=0, "",VLOOKUP(A430,'Aux - pivots1'!$A:$E,5,0))</f>
        <v/>
      </c>
      <c r="M439" s="205"/>
      <c r="N439" s="205"/>
      <c r="O439" s="337" t="s">
        <v>29</v>
      </c>
    </row>
    <row r="440" spans="1:15" ht="16.2" customHeight="1">
      <c r="A440" s="29" t="str">
        <f t="shared" si="6"/>
        <v>modesg_out_empr_info_nfinppc_trnvr_ttl_elgbl</v>
      </c>
      <c r="B440" s="141" t="s">
        <v>26</v>
      </c>
      <c r="C440" s="137" t="s">
        <v>310</v>
      </c>
      <c r="D440" s="133" t="s">
        <v>40</v>
      </c>
      <c r="E440" s="134" t="s">
        <v>325</v>
      </c>
      <c r="F440" s="133" t="s">
        <v>259</v>
      </c>
      <c r="G440" s="135" t="str">
        <f>VLOOKUP(A440,Plano_V3!$A$26:$G$753,7,0)</f>
        <v>1. Concluído</v>
      </c>
      <c r="H440" s="135"/>
      <c r="I440" s="153"/>
      <c r="J440" s="152" t="str">
        <f>IF(VLOOKUP(A440,'Aux - pivots1'!$A:$E,3,0)=0, "",VLOOKUP(A440,'Aux - pivots1'!$A:$E,3,0))</f>
        <v/>
      </c>
      <c r="K440" s="152" t="str">
        <f>IF(VLOOKUP(A440,'Aux - pivots1'!$A:$E,4,0)=0, "",VLOOKUP(A440,'Aux - pivots1'!$A:$E,4,0))</f>
        <v/>
      </c>
      <c r="L440" s="152" t="str">
        <f>IF(VLOOKUP(A440,'Aux - pivots1'!$A:$E,5,0)=0, "",VLOOKUP(A440,'Aux - pivots1'!$A:$E,5,0))</f>
        <v/>
      </c>
      <c r="M440" s="205"/>
      <c r="N440" s="205"/>
      <c r="O440" s="337"/>
    </row>
    <row r="441" spans="1:15" ht="16.2" customHeight="1">
      <c r="A441" s="29" t="str">
        <f t="shared" si="6"/>
        <v>modesg_out_empr_info_nfinppc_turnover_own_prfrmnce_algnd</v>
      </c>
      <c r="B441" s="141" t="s">
        <v>26</v>
      </c>
      <c r="C441" s="137" t="s">
        <v>310</v>
      </c>
      <c r="D441" s="133" t="s">
        <v>40</v>
      </c>
      <c r="E441" s="134" t="s">
        <v>325</v>
      </c>
      <c r="F441" s="133" t="s">
        <v>260</v>
      </c>
      <c r="G441" s="135" t="str">
        <f>VLOOKUP(A441,Plano_V3!$A$26:$G$753,7,0)</f>
        <v>1. Concluído</v>
      </c>
      <c r="H441" s="135"/>
      <c r="I441" s="153"/>
      <c r="J441" s="152" t="str">
        <f>IF(VLOOKUP(A441,'Aux - pivots1'!$A:$E,3,0)=0, "",VLOOKUP(A441,'Aux - pivots1'!$A:$E,3,0))</f>
        <v/>
      </c>
      <c r="K441" s="152" t="str">
        <f>IF(VLOOKUP(A441,'Aux - pivots1'!$A:$E,4,0)=0, "",VLOOKUP(A441,'Aux - pivots1'!$A:$E,4,0))</f>
        <v/>
      </c>
      <c r="L441" s="152" t="str">
        <f>IF(VLOOKUP(A441,'Aux - pivots1'!$A:$E,5,0)=0, "",VLOOKUP(A441,'Aux - pivots1'!$A:$E,5,0))</f>
        <v/>
      </c>
      <c r="M441" s="205"/>
      <c r="N441" s="205"/>
      <c r="O441" s="337"/>
    </row>
    <row r="442" spans="1:15" ht="16.2" customHeight="1">
      <c r="A442" s="29" t="str">
        <f t="shared" si="6"/>
        <v>modesg_out_empr_info_nfinppc_capex_ttl_elgbl</v>
      </c>
      <c r="B442" s="141" t="s">
        <v>26</v>
      </c>
      <c r="C442" s="137" t="s">
        <v>310</v>
      </c>
      <c r="D442" s="133" t="s">
        <v>40</v>
      </c>
      <c r="E442" s="134" t="s">
        <v>325</v>
      </c>
      <c r="F442" s="133" t="s">
        <v>261</v>
      </c>
      <c r="G442" s="135" t="str">
        <f>VLOOKUP(A442,Plano_V3!$A$26:$G$753,7,0)</f>
        <v>1. Concluído</v>
      </c>
      <c r="H442" s="135"/>
      <c r="I442" s="153"/>
      <c r="J442" s="152" t="str">
        <f>IF(VLOOKUP(A442,'Aux - pivots1'!$A:$E,3,0)=0, "",VLOOKUP(A442,'Aux - pivots1'!$A:$E,3,0))</f>
        <v/>
      </c>
      <c r="K442" s="152" t="str">
        <f>IF(VLOOKUP(A442,'Aux - pivots1'!$A:$E,4,0)=0, "",VLOOKUP(A442,'Aux - pivots1'!$A:$E,4,0))</f>
        <v/>
      </c>
      <c r="L442" s="152" t="str">
        <f>IF(VLOOKUP(A442,'Aux - pivots1'!$A:$E,5,0)=0, "",VLOOKUP(A442,'Aux - pivots1'!$A:$E,5,0))</f>
        <v/>
      </c>
      <c r="M442" s="205"/>
      <c r="N442" s="205"/>
      <c r="O442" s="337"/>
    </row>
    <row r="443" spans="1:15" ht="16.2" customHeight="1">
      <c r="A443" s="29" t="str">
        <f t="shared" si="6"/>
        <v>modesg_out_empr_info_nfinppc_capex_own_prfrmnce_algnd</v>
      </c>
      <c r="B443" s="141" t="s">
        <v>26</v>
      </c>
      <c r="C443" s="137" t="s">
        <v>310</v>
      </c>
      <c r="D443" s="133" t="s">
        <v>40</v>
      </c>
      <c r="E443" s="134" t="s">
        <v>325</v>
      </c>
      <c r="F443" s="133" t="s">
        <v>262</v>
      </c>
      <c r="G443" s="135" t="str">
        <f>VLOOKUP(A443,Plano_V3!$A$26:$G$753,7,0)</f>
        <v>1. Concluído</v>
      </c>
      <c r="H443" s="135"/>
      <c r="I443" s="153"/>
      <c r="J443" s="152" t="str">
        <f>IF(VLOOKUP(A443,'Aux - pivots1'!$A:$E,3,0)=0, "",VLOOKUP(A443,'Aux - pivots1'!$A:$E,3,0))</f>
        <v/>
      </c>
      <c r="K443" s="152" t="str">
        <f>IF(VLOOKUP(A443,'Aux - pivots1'!$A:$E,4,0)=0, "",VLOOKUP(A443,'Aux - pivots1'!$A:$E,4,0))</f>
        <v/>
      </c>
      <c r="L443" s="152" t="str">
        <f>IF(VLOOKUP(A443,'Aux - pivots1'!$A:$E,5,0)=0, "",VLOOKUP(A443,'Aux - pivots1'!$A:$E,5,0))</f>
        <v/>
      </c>
      <c r="M443" s="205"/>
      <c r="N443" s="205"/>
      <c r="O443" s="337"/>
    </row>
    <row r="444" spans="1:15" ht="16.2" customHeight="1">
      <c r="A444" s="29" t="str">
        <f t="shared" si="6"/>
        <v>modesg_out_empr_info_nfinbio_trnvr_ttl_elgbl</v>
      </c>
      <c r="B444" s="141" t="s">
        <v>26</v>
      </c>
      <c r="C444" s="137" t="s">
        <v>310</v>
      </c>
      <c r="D444" s="133" t="s">
        <v>40</v>
      </c>
      <c r="E444" s="134" t="s">
        <v>325</v>
      </c>
      <c r="F444" s="133" t="s">
        <v>263</v>
      </c>
      <c r="G444" s="135" t="str">
        <f>VLOOKUP(A444,Plano_V3!$A$26:$G$753,7,0)</f>
        <v>1. Concluído</v>
      </c>
      <c r="H444" s="135"/>
      <c r="I444" s="153"/>
      <c r="J444" s="152" t="str">
        <f>IF(VLOOKUP(A444,'Aux - pivots1'!$A:$E,3,0)=0, "",VLOOKUP(A444,'Aux - pivots1'!$A:$E,3,0))</f>
        <v/>
      </c>
      <c r="K444" s="152" t="str">
        <f>IF(VLOOKUP(A444,'Aux - pivots1'!$A:$E,4,0)=0, "",VLOOKUP(A444,'Aux - pivots1'!$A:$E,4,0))</f>
        <v/>
      </c>
      <c r="L444" s="152" t="str">
        <f>IF(VLOOKUP(A444,'Aux - pivots1'!$A:$E,5,0)=0, "",VLOOKUP(A444,'Aux - pivots1'!$A:$E,5,0))</f>
        <v/>
      </c>
      <c r="M444" s="205"/>
      <c r="N444" s="205"/>
      <c r="O444" s="337"/>
    </row>
    <row r="445" spans="1:15" ht="16.2" customHeight="1">
      <c r="A445" s="29" t="str">
        <f t="shared" si="6"/>
        <v>modesg_out_empr_info_nfinbio_turnover_own_prfrmnce_algnd</v>
      </c>
      <c r="B445" s="141" t="s">
        <v>26</v>
      </c>
      <c r="C445" s="137" t="s">
        <v>310</v>
      </c>
      <c r="D445" s="133" t="s">
        <v>40</v>
      </c>
      <c r="E445" s="134" t="s">
        <v>325</v>
      </c>
      <c r="F445" s="133" t="s">
        <v>264</v>
      </c>
      <c r="G445" s="135" t="str">
        <f>VLOOKUP(A445,Plano_V3!$A$26:$G$753,7,0)</f>
        <v>1. Concluído</v>
      </c>
      <c r="H445" s="135"/>
      <c r="I445" s="153"/>
      <c r="J445" s="152" t="str">
        <f>IF(VLOOKUP(A445,'Aux - pivots1'!$A:$E,3,0)=0, "",VLOOKUP(A445,'Aux - pivots1'!$A:$E,3,0))</f>
        <v/>
      </c>
      <c r="K445" s="152" t="str">
        <f>IF(VLOOKUP(A445,'Aux - pivots1'!$A:$E,4,0)=0, "",VLOOKUP(A445,'Aux - pivots1'!$A:$E,4,0))</f>
        <v/>
      </c>
      <c r="L445" s="152" t="str">
        <f>IF(VLOOKUP(A445,'Aux - pivots1'!$A:$E,5,0)=0, "",VLOOKUP(A445,'Aux - pivots1'!$A:$E,5,0))</f>
        <v/>
      </c>
      <c r="M445" s="205"/>
      <c r="N445" s="205"/>
      <c r="O445" s="337"/>
    </row>
    <row r="446" spans="1:15" ht="16.2" customHeight="1">
      <c r="A446" s="29" t="str">
        <f t="shared" si="6"/>
        <v>modesg_out_empr_info_nfinbio_capex_ttl_elgbl</v>
      </c>
      <c r="B446" s="141" t="s">
        <v>26</v>
      </c>
      <c r="C446" s="137" t="s">
        <v>310</v>
      </c>
      <c r="D446" s="133" t="s">
        <v>40</v>
      </c>
      <c r="E446" s="134" t="s">
        <v>325</v>
      </c>
      <c r="F446" s="133" t="s">
        <v>265</v>
      </c>
      <c r="G446" s="135" t="str">
        <f>VLOOKUP(A446,Plano_V3!$A$26:$G$753,7,0)</f>
        <v>1. Concluído</v>
      </c>
      <c r="H446" s="135"/>
      <c r="I446" s="153"/>
      <c r="J446" s="152" t="str">
        <f>IF(VLOOKUP(A446,'Aux - pivots1'!$A:$E,3,0)=0, "",VLOOKUP(A446,'Aux - pivots1'!$A:$E,3,0))</f>
        <v/>
      </c>
      <c r="K446" s="152" t="str">
        <f>IF(VLOOKUP(A446,'Aux - pivots1'!$A:$E,4,0)=0, "",VLOOKUP(A446,'Aux - pivots1'!$A:$E,4,0))</f>
        <v/>
      </c>
      <c r="L446" s="152" t="str">
        <f>IF(VLOOKUP(A446,'Aux - pivots1'!$A:$E,5,0)=0, "",VLOOKUP(A446,'Aux - pivots1'!$A:$E,5,0))</f>
        <v/>
      </c>
      <c r="M446" s="205"/>
      <c r="N446" s="205"/>
      <c r="O446" s="337"/>
    </row>
    <row r="447" spans="1:15" ht="16.2" customHeight="1">
      <c r="A447" s="29" t="str">
        <f t="shared" si="6"/>
        <v>modesg_out_empr_info_nfinbio_capex_own_prfrmnce_algnd</v>
      </c>
      <c r="B447" s="141" t="s">
        <v>26</v>
      </c>
      <c r="C447" s="137" t="s">
        <v>310</v>
      </c>
      <c r="D447" s="133" t="s">
        <v>40</v>
      </c>
      <c r="E447" s="134" t="s">
        <v>325</v>
      </c>
      <c r="F447" s="133" t="s">
        <v>266</v>
      </c>
      <c r="G447" s="135" t="str">
        <f>VLOOKUP(A447,Plano_V3!$A$26:$G$753,7,0)</f>
        <v>1. Concluído</v>
      </c>
      <c r="H447" s="135"/>
      <c r="I447" s="153"/>
      <c r="J447" s="152" t="str">
        <f>IF(VLOOKUP(A447,'Aux - pivots1'!$A:$E,3,0)=0, "",VLOOKUP(A447,'Aux - pivots1'!$A:$E,3,0))</f>
        <v/>
      </c>
      <c r="K447" s="152" t="str">
        <f>IF(VLOOKUP(A447,'Aux - pivots1'!$A:$E,4,0)=0, "",VLOOKUP(A447,'Aux - pivots1'!$A:$E,4,0))</f>
        <v/>
      </c>
      <c r="L447" s="152" t="str">
        <f>IF(VLOOKUP(A447,'Aux - pivots1'!$A:$E,5,0)=0, "",VLOOKUP(A447,'Aux - pivots1'!$A:$E,5,0))</f>
        <v/>
      </c>
      <c r="M447" s="205"/>
      <c r="N447" s="205"/>
      <c r="O447" s="337"/>
    </row>
    <row r="448" spans="1:15" ht="16.2" customHeight="1">
      <c r="A448" s="29" t="str">
        <f t="shared" si="6"/>
        <v>modesg_out_empr_info_nfinwtr_trnvr_ttl_elgbl</v>
      </c>
      <c r="B448" s="141" t="s">
        <v>26</v>
      </c>
      <c r="C448" s="137" t="s">
        <v>310</v>
      </c>
      <c r="D448" s="133" t="s">
        <v>40</v>
      </c>
      <c r="E448" s="134" t="s">
        <v>325</v>
      </c>
      <c r="F448" s="133" t="s">
        <v>267</v>
      </c>
      <c r="G448" s="135" t="str">
        <f>VLOOKUP(A448,Plano_V3!$A$26:$G$753,7,0)</f>
        <v>1. Concluído</v>
      </c>
      <c r="H448" s="135"/>
      <c r="I448" s="153"/>
      <c r="J448" s="152" t="str">
        <f>IF(VLOOKUP(A448,'Aux - pivots1'!$A:$E,3,0)=0, "",VLOOKUP(A448,'Aux - pivots1'!$A:$E,3,0))</f>
        <v/>
      </c>
      <c r="K448" s="152" t="str">
        <f>IF(VLOOKUP(A448,'Aux - pivots1'!$A:$E,4,0)=0, "",VLOOKUP(A448,'Aux - pivots1'!$A:$E,4,0))</f>
        <v/>
      </c>
      <c r="L448" s="152" t="str">
        <f>IF(VLOOKUP(A448,'Aux - pivots1'!$A:$E,5,0)=0, "",VLOOKUP(A448,'Aux - pivots1'!$A:$E,5,0))</f>
        <v/>
      </c>
      <c r="M448" s="205"/>
      <c r="N448" s="205"/>
      <c r="O448" s="337"/>
    </row>
    <row r="449" spans="1:17" ht="16.2" customHeight="1">
      <c r="A449" s="29" t="str">
        <f t="shared" si="6"/>
        <v>modesg_out_empr_info_nfinwtr_trnvr_enblng_alignd</v>
      </c>
      <c r="B449" s="141" t="s">
        <v>26</v>
      </c>
      <c r="C449" s="137" t="s">
        <v>310</v>
      </c>
      <c r="D449" s="133" t="s">
        <v>40</v>
      </c>
      <c r="E449" s="134" t="s">
        <v>325</v>
      </c>
      <c r="F449" s="133" t="s">
        <v>268</v>
      </c>
      <c r="G449" s="135" t="str">
        <f>VLOOKUP(A449,Plano_V3!$A$26:$G$753,7,0)</f>
        <v>1. Concluído</v>
      </c>
      <c r="H449" s="135"/>
      <c r="I449" s="153"/>
      <c r="J449" s="152" t="str">
        <f>IF(VLOOKUP(A449,'Aux - pivots1'!$A:$E,3,0)=0, "",VLOOKUP(A449,'Aux - pivots1'!$A:$E,3,0))</f>
        <v/>
      </c>
      <c r="K449" s="152" t="str">
        <f>IF(VLOOKUP(A449,'Aux - pivots1'!$A:$E,4,0)=0, "",VLOOKUP(A449,'Aux - pivots1'!$A:$E,4,0))</f>
        <v/>
      </c>
      <c r="L449" s="152" t="str">
        <f>IF(VLOOKUP(A449,'Aux - pivots1'!$A:$E,5,0)=0, "",VLOOKUP(A449,'Aux - pivots1'!$A:$E,5,0))</f>
        <v/>
      </c>
      <c r="M449" s="205"/>
      <c r="N449" s="205"/>
      <c r="O449" s="337"/>
    </row>
    <row r="450" spans="1:17" ht="16.2" customHeight="1">
      <c r="A450" s="29" t="str">
        <f t="shared" si="6"/>
        <v>modesg_out_empr_info_nfinwtr_turnover_own_prfrmnce_algnd</v>
      </c>
      <c r="B450" s="141" t="s">
        <v>26</v>
      </c>
      <c r="C450" s="137" t="s">
        <v>310</v>
      </c>
      <c r="D450" s="133" t="s">
        <v>40</v>
      </c>
      <c r="E450" s="134" t="s">
        <v>325</v>
      </c>
      <c r="F450" s="133" t="s">
        <v>269</v>
      </c>
      <c r="G450" s="135" t="str">
        <f>VLOOKUP(A450,Plano_V3!$A$26:$G$753,7,0)</f>
        <v>1. Concluído</v>
      </c>
      <c r="H450" s="135"/>
      <c r="I450" s="153"/>
      <c r="J450" s="152" t="str">
        <f>IF(VLOOKUP(A450,'Aux - pivots1'!$A:$E,3,0)=0, "",VLOOKUP(A450,'Aux - pivots1'!$A:$E,3,0))</f>
        <v/>
      </c>
      <c r="K450" s="152" t="str">
        <f>IF(VLOOKUP(A450,'Aux - pivots1'!$A:$E,4,0)=0, "",VLOOKUP(A450,'Aux - pivots1'!$A:$E,4,0))</f>
        <v/>
      </c>
      <c r="L450" s="152" t="str">
        <f>IF(VLOOKUP(A450,'Aux - pivots1'!$A:$E,5,0)=0, "",VLOOKUP(A450,'Aux - pivots1'!$A:$E,5,0))</f>
        <v/>
      </c>
      <c r="M450" s="205"/>
      <c r="N450" s="205"/>
      <c r="O450" s="337"/>
    </row>
    <row r="451" spans="1:17" ht="16.2" customHeight="1">
      <c r="A451" s="29" t="str">
        <f t="shared" si="6"/>
        <v>modesg_out_empr_info_nfinwtr_capex_ttl_elgbl</v>
      </c>
      <c r="B451" s="141" t="s">
        <v>26</v>
      </c>
      <c r="C451" s="137" t="s">
        <v>310</v>
      </c>
      <c r="D451" s="133" t="s">
        <v>40</v>
      </c>
      <c r="E451" s="134" t="s">
        <v>325</v>
      </c>
      <c r="F451" s="133" t="s">
        <v>270</v>
      </c>
      <c r="G451" s="135" t="str">
        <f>VLOOKUP(A451,Plano_V3!$A$26:$G$753,7,0)</f>
        <v>1. Concluído</v>
      </c>
      <c r="H451" s="135"/>
      <c r="I451" s="153"/>
      <c r="J451" s="152" t="str">
        <f>IF(VLOOKUP(A451,'Aux - pivots1'!$A:$E,3,0)=0, "",VLOOKUP(A451,'Aux - pivots1'!$A:$E,3,0))</f>
        <v/>
      </c>
      <c r="K451" s="152" t="str">
        <f>IF(VLOOKUP(A451,'Aux - pivots1'!$A:$E,4,0)=0, "",VLOOKUP(A451,'Aux - pivots1'!$A:$E,4,0))</f>
        <v/>
      </c>
      <c r="L451" s="152" t="str">
        <f>IF(VLOOKUP(A451,'Aux - pivots1'!$A:$E,5,0)=0, "",VLOOKUP(A451,'Aux - pivots1'!$A:$E,5,0))</f>
        <v/>
      </c>
      <c r="M451" s="205"/>
      <c r="N451" s="205"/>
      <c r="O451" s="337"/>
    </row>
    <row r="452" spans="1:17" ht="16.2" customHeight="1">
      <c r="A452" s="29" t="str">
        <f t="shared" si="6"/>
        <v>modesg_out_empr_info_nfinwtr_capex_enblng_algnd</v>
      </c>
      <c r="B452" s="141" t="s">
        <v>26</v>
      </c>
      <c r="C452" s="137" t="s">
        <v>310</v>
      </c>
      <c r="D452" s="133" t="s">
        <v>40</v>
      </c>
      <c r="E452" s="134" t="s">
        <v>325</v>
      </c>
      <c r="F452" s="133" t="s">
        <v>271</v>
      </c>
      <c r="G452" s="135" t="str">
        <f>VLOOKUP(A452,Plano_V3!$A$26:$G$753,7,0)</f>
        <v>1. Concluído</v>
      </c>
      <c r="H452" s="135"/>
      <c r="I452" s="153"/>
      <c r="J452" s="152" t="str">
        <f>IF(VLOOKUP(A452,'Aux - pivots1'!$A:$E,3,0)=0, "",VLOOKUP(A452,'Aux - pivots1'!$A:$E,3,0))</f>
        <v/>
      </c>
      <c r="K452" s="152" t="str">
        <f>IF(VLOOKUP(A452,'Aux - pivots1'!$A:$E,4,0)=0, "",VLOOKUP(A452,'Aux - pivots1'!$A:$E,4,0))</f>
        <v/>
      </c>
      <c r="L452" s="152" t="str">
        <f>IF(VLOOKUP(A452,'Aux - pivots1'!$A:$E,5,0)=0, "",VLOOKUP(A452,'Aux - pivots1'!$A:$E,5,0))</f>
        <v/>
      </c>
      <c r="M452" s="205"/>
      <c r="N452" s="205"/>
      <c r="O452" s="337"/>
    </row>
    <row r="453" spans="1:17" ht="16.2" customHeight="1">
      <c r="A453" s="29" t="str">
        <f t="shared" si="6"/>
        <v>modesg_out_empr_info_nfinwtr_capex_own_prfrmnce_algnd</v>
      </c>
      <c r="B453" s="141" t="s">
        <v>26</v>
      </c>
      <c r="C453" s="137" t="s">
        <v>310</v>
      </c>
      <c r="D453" s="133" t="s">
        <v>40</v>
      </c>
      <c r="E453" s="134" t="s">
        <v>325</v>
      </c>
      <c r="F453" s="133" t="s">
        <v>272</v>
      </c>
      <c r="G453" s="135" t="str">
        <f>VLOOKUP(A453,Plano_V3!$A$26:$G$753,7,0)</f>
        <v>1. Concluído</v>
      </c>
      <c r="H453" s="135"/>
      <c r="I453" s="153"/>
      <c r="J453" s="152" t="str">
        <f>IF(VLOOKUP(A453,'Aux - pivots1'!$A:$E,3,0)=0, "",VLOOKUP(A453,'Aux - pivots1'!$A:$E,3,0))</f>
        <v/>
      </c>
      <c r="K453" s="152" t="str">
        <f>IF(VLOOKUP(A453,'Aux - pivots1'!$A:$E,4,0)=0, "",VLOOKUP(A453,'Aux - pivots1'!$A:$E,4,0))</f>
        <v/>
      </c>
      <c r="L453" s="152" t="str">
        <f>IF(VLOOKUP(A453,'Aux - pivots1'!$A:$E,5,0)=0, "",VLOOKUP(A453,'Aux - pivots1'!$A:$E,5,0))</f>
        <v/>
      </c>
      <c r="M453" s="205"/>
      <c r="N453" s="205"/>
      <c r="O453" s="337"/>
    </row>
    <row r="454" spans="1:17" ht="16.2" customHeight="1">
      <c r="A454" s="29" t="str">
        <f t="shared" si="6"/>
        <v>modesg_out_empr_info_nfince_trnvr_ttl_elgbl</v>
      </c>
      <c r="B454" s="141" t="s">
        <v>26</v>
      </c>
      <c r="C454" s="137" t="s">
        <v>310</v>
      </c>
      <c r="D454" s="133" t="s">
        <v>40</v>
      </c>
      <c r="E454" s="134" t="s">
        <v>325</v>
      </c>
      <c r="F454" s="133" t="s">
        <v>273</v>
      </c>
      <c r="G454" s="135" t="str">
        <f>VLOOKUP(A454,Plano_V3!$A$26:$G$753,7,0)</f>
        <v>1. Concluído</v>
      </c>
      <c r="H454" s="135"/>
      <c r="I454" s="153"/>
      <c r="J454" s="152" t="str">
        <f>IF(VLOOKUP(A454,'Aux - pivots1'!$A:$E,3,0)=0, "",VLOOKUP(A454,'Aux - pivots1'!$A:$E,3,0))</f>
        <v/>
      </c>
      <c r="K454" s="152" t="str">
        <f>IF(VLOOKUP(A454,'Aux - pivots1'!$A:$E,4,0)=0, "",VLOOKUP(A454,'Aux - pivots1'!$A:$E,4,0))</f>
        <v/>
      </c>
      <c r="L454" s="152" t="str">
        <f>IF(VLOOKUP(A454,'Aux - pivots1'!$A:$E,5,0)=0, "",VLOOKUP(A454,'Aux - pivots1'!$A:$E,5,0))</f>
        <v/>
      </c>
      <c r="M454" s="205"/>
      <c r="N454" s="205"/>
      <c r="O454" s="337"/>
    </row>
    <row r="455" spans="1:17" ht="16.2" customHeight="1">
      <c r="A455" s="29" t="str">
        <f t="shared" si="6"/>
        <v>modesg_out_empr_info_nfince_trnvr_enblng_alignd</v>
      </c>
      <c r="B455" s="141" t="s">
        <v>26</v>
      </c>
      <c r="C455" s="137" t="s">
        <v>310</v>
      </c>
      <c r="D455" s="133" t="s">
        <v>40</v>
      </c>
      <c r="E455" s="134" t="s">
        <v>325</v>
      </c>
      <c r="F455" s="133" t="s">
        <v>274</v>
      </c>
      <c r="G455" s="135" t="str">
        <f>VLOOKUP(A455,Plano_V3!$A$26:$G$753,7,0)</f>
        <v>1. Concluído</v>
      </c>
      <c r="H455" s="135"/>
      <c r="I455" s="153"/>
      <c r="J455" s="152" t="str">
        <f>IF(VLOOKUP(A455,'Aux - pivots1'!$A:$E,3,0)=0, "",VLOOKUP(A455,'Aux - pivots1'!$A:$E,3,0))</f>
        <v/>
      </c>
      <c r="K455" s="152" t="str">
        <f>IF(VLOOKUP(A455,'Aux - pivots1'!$A:$E,4,0)=0, "",VLOOKUP(A455,'Aux - pivots1'!$A:$E,4,0))</f>
        <v/>
      </c>
      <c r="L455" s="152" t="str">
        <f>IF(VLOOKUP(A455,'Aux - pivots1'!$A:$E,5,0)=0, "",VLOOKUP(A455,'Aux - pivots1'!$A:$E,5,0))</f>
        <v/>
      </c>
      <c r="M455" s="205"/>
      <c r="N455" s="205"/>
      <c r="O455" s="337"/>
    </row>
    <row r="456" spans="1:17" ht="16.2" customHeight="1">
      <c r="A456" s="29" t="str">
        <f t="shared" si="6"/>
        <v>modesg_out_empr_info_nfince_turnover_own_prfrmnce_algnd</v>
      </c>
      <c r="B456" s="141" t="s">
        <v>26</v>
      </c>
      <c r="C456" s="137" t="s">
        <v>310</v>
      </c>
      <c r="D456" s="133" t="s">
        <v>40</v>
      </c>
      <c r="E456" s="134" t="s">
        <v>325</v>
      </c>
      <c r="F456" s="133" t="s">
        <v>275</v>
      </c>
      <c r="G456" s="135" t="str">
        <f>VLOOKUP(A456,Plano_V3!$A$26:$G$753,7,0)</f>
        <v>1. Concluído</v>
      </c>
      <c r="H456" s="135"/>
      <c r="I456" s="153"/>
      <c r="J456" s="152" t="str">
        <f>IF(VLOOKUP(A456,'Aux - pivots1'!$A:$E,3,0)=0, "",VLOOKUP(A456,'Aux - pivots1'!$A:$E,3,0))</f>
        <v/>
      </c>
      <c r="K456" s="152" t="str">
        <f>IF(VLOOKUP(A456,'Aux - pivots1'!$A:$E,4,0)=0, "",VLOOKUP(A456,'Aux - pivots1'!$A:$E,4,0))</f>
        <v/>
      </c>
      <c r="L456" s="152" t="str">
        <f>IF(VLOOKUP(A456,'Aux - pivots1'!$A:$E,5,0)=0, "",VLOOKUP(A456,'Aux - pivots1'!$A:$E,5,0))</f>
        <v/>
      </c>
      <c r="M456" s="205"/>
      <c r="N456" s="205"/>
      <c r="O456" s="337"/>
    </row>
    <row r="457" spans="1:17" ht="16.2" customHeight="1">
      <c r="A457" s="29" t="str">
        <f t="shared" si="6"/>
        <v>modesg_out_empr_info_nfince_capex_ttl_elgbl</v>
      </c>
      <c r="B457" s="141" t="s">
        <v>26</v>
      </c>
      <c r="C457" s="137" t="s">
        <v>310</v>
      </c>
      <c r="D457" s="133" t="s">
        <v>40</v>
      </c>
      <c r="E457" s="134" t="s">
        <v>325</v>
      </c>
      <c r="F457" s="133" t="s">
        <v>276</v>
      </c>
      <c r="G457" s="135" t="str">
        <f>VLOOKUP(A457,Plano_V3!$A$26:$G$753,7,0)</f>
        <v>1. Concluído</v>
      </c>
      <c r="H457" s="135"/>
      <c r="I457" s="153"/>
      <c r="J457" s="152" t="str">
        <f>IF(VLOOKUP(A457,'Aux - pivots1'!$A:$E,3,0)=0, "",VLOOKUP(A457,'Aux - pivots1'!$A:$E,3,0))</f>
        <v/>
      </c>
      <c r="K457" s="152" t="str">
        <f>IF(VLOOKUP(A457,'Aux - pivots1'!$A:$E,4,0)=0, "",VLOOKUP(A457,'Aux - pivots1'!$A:$E,4,0))</f>
        <v/>
      </c>
      <c r="L457" s="152" t="str">
        <f>IF(VLOOKUP(A457,'Aux - pivots1'!$A:$E,5,0)=0, "",VLOOKUP(A457,'Aux - pivots1'!$A:$E,5,0))</f>
        <v/>
      </c>
      <c r="M457" s="205"/>
      <c r="N457" s="205"/>
      <c r="O457" s="337"/>
    </row>
    <row r="458" spans="1:17" ht="16.2" customHeight="1">
      <c r="A458" s="29" t="str">
        <f t="shared" si="6"/>
        <v>modesg_out_empr_info_nfince_capex_enblng_algnd</v>
      </c>
      <c r="B458" s="141" t="s">
        <v>26</v>
      </c>
      <c r="C458" s="137" t="s">
        <v>310</v>
      </c>
      <c r="D458" s="133" t="s">
        <v>40</v>
      </c>
      <c r="E458" s="134" t="s">
        <v>325</v>
      </c>
      <c r="F458" s="133" t="s">
        <v>277</v>
      </c>
      <c r="G458" s="135" t="str">
        <f>VLOOKUP(A458,Plano_V3!$A$26:$G$753,7,0)</f>
        <v>1. Concluído</v>
      </c>
      <c r="H458" s="135"/>
      <c r="I458" s="153"/>
      <c r="J458" s="152" t="str">
        <f>IF(VLOOKUP(A458,'Aux - pivots1'!$A:$E,3,0)=0, "",VLOOKUP(A458,'Aux - pivots1'!$A:$E,3,0))</f>
        <v/>
      </c>
      <c r="K458" s="152" t="str">
        <f>IF(VLOOKUP(A458,'Aux - pivots1'!$A:$E,4,0)=0, "",VLOOKUP(A458,'Aux - pivots1'!$A:$E,4,0))</f>
        <v/>
      </c>
      <c r="L458" s="152" t="str">
        <f>IF(VLOOKUP(A458,'Aux - pivots1'!$A:$E,5,0)=0, "",VLOOKUP(A458,'Aux - pivots1'!$A:$E,5,0))</f>
        <v/>
      </c>
      <c r="M458" s="205"/>
      <c r="N458" s="205"/>
      <c r="O458" s="337"/>
    </row>
    <row r="459" spans="1:17" ht="16.2" customHeight="1">
      <c r="A459" s="29" t="str">
        <f t="shared" si="6"/>
        <v>modesg_out_empr_info_nfince_capex_own_prfrmnce_algnd</v>
      </c>
      <c r="B459" s="141" t="s">
        <v>26</v>
      </c>
      <c r="C459" s="137" t="s">
        <v>310</v>
      </c>
      <c r="D459" s="133" t="s">
        <v>40</v>
      </c>
      <c r="E459" s="134" t="s">
        <v>325</v>
      </c>
      <c r="F459" s="133" t="s">
        <v>278</v>
      </c>
      <c r="G459" s="135" t="str">
        <f>VLOOKUP(A459,Plano_V3!$A$26:$G$753,7,0)</f>
        <v>1. Concluído</v>
      </c>
      <c r="H459" s="426"/>
      <c r="I459" s="152"/>
      <c r="J459" s="427" t="str">
        <f>IF(VLOOKUP(A459,'Aux - pivots1'!$A:$E,3,0)=0, "",VLOOKUP(A459,'Aux - pivots1'!$A:$E,3,0))</f>
        <v/>
      </c>
      <c r="K459" s="427" t="str">
        <f>IF(VLOOKUP(A459,'Aux - pivots1'!$A:$E,4,0)=0, "",VLOOKUP(A459,'Aux - pivots1'!$A:$E,4,0))</f>
        <v/>
      </c>
      <c r="L459" s="427" t="str">
        <f>IF(VLOOKUP(A459,'Aux - pivots1'!$A:$E,5,0)=0, "",VLOOKUP(A459,'Aux - pivots1'!$A:$E,5,0))</f>
        <v/>
      </c>
      <c r="M459" s="427"/>
      <c r="N459" s="427"/>
      <c r="O459" s="427"/>
    </row>
    <row r="460" spans="1:17" ht="16.2" customHeight="1">
      <c r="A460" s="29" t="str">
        <f t="shared" si="6"/>
        <v>modesg_out_empr_info_nfincod_nace_esg</v>
      </c>
      <c r="B460" s="141" t="s">
        <v>26</v>
      </c>
      <c r="C460" s="137" t="s">
        <v>310</v>
      </c>
      <c r="D460" s="133" t="s">
        <v>40</v>
      </c>
      <c r="E460" s="134" t="s">
        <v>325</v>
      </c>
      <c r="F460" s="213" t="s">
        <v>281</v>
      </c>
      <c r="G460" s="214" t="str">
        <f>VLOOKUP(A460,Plano_V3!$A$26:$G$753,7,0)</f>
        <v>2.2 Em Re-especificação</v>
      </c>
      <c r="H460" s="214" t="s">
        <v>1863</v>
      </c>
      <c r="I460" s="153"/>
      <c r="J460" s="152" t="str">
        <f>IF(VLOOKUP(A431,'Aux - pivots1'!$A:$E,3,0)=0, "",VLOOKUP(A431,'Aux - pivots1'!$A:$E,3,0))</f>
        <v/>
      </c>
      <c r="K460" s="152" t="str">
        <f>IF(VLOOKUP(A431,'Aux - pivots1'!$A:$E,4,0)=0, "",VLOOKUP(A431,'Aux - pivots1'!$A:$E,4,0))</f>
        <v/>
      </c>
      <c r="L460" s="152" t="str">
        <f>IF(VLOOKUP(A431,'Aux - pivots1'!$A:$E,5,0)=0, "",VLOOKUP(A431,'Aux - pivots1'!$A:$E,5,0))</f>
        <v/>
      </c>
      <c r="M460" s="205"/>
      <c r="N460" s="205"/>
      <c r="O460" s="337" t="s">
        <v>29</v>
      </c>
      <c r="Q460" s="268" t="s">
        <v>1883</v>
      </c>
    </row>
    <row r="461" spans="1:17" ht="16.2"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1862</v>
      </c>
      <c r="I461" s="153"/>
      <c r="J461" s="152" t="str">
        <f>IF(VLOOKUP(A432,'Aux - pivots1'!$A:$E,3,0)=0, "",VLOOKUP(A432,'Aux - pivots1'!$A:$E,3,0))</f>
        <v/>
      </c>
      <c r="K461" s="152" t="str">
        <f>IF(VLOOKUP(A432,'Aux - pivots1'!$A:$E,4,0)=0, "",VLOOKUP(A432,'Aux - pivots1'!$A:$E,4,0))</f>
        <v/>
      </c>
      <c r="L461" s="152" t="str">
        <f>IF(VLOOKUP(A432,'Aux - pivots1'!$A:$E,5,0)=0, "",VLOOKUP(A432,'Aux - pivots1'!$A:$E,5,0))</f>
        <v/>
      </c>
      <c r="M461" s="205"/>
      <c r="N461" s="205"/>
      <c r="O461" s="337" t="s">
        <v>29</v>
      </c>
    </row>
    <row r="462" spans="1:17" ht="16.2"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1862</v>
      </c>
      <c r="I462" s="153"/>
      <c r="J462" s="152" t="str">
        <f>IF(VLOOKUP(A433,'Aux - pivots1'!$A:$E,3,0)=0, "",VLOOKUP(A433,'Aux - pivots1'!$A:$E,3,0))</f>
        <v/>
      </c>
      <c r="K462" s="152" t="str">
        <f>IF(VLOOKUP(A433,'Aux - pivots1'!$A:$E,4,0)=0, "",VLOOKUP(A433,'Aux - pivots1'!$A:$E,4,0))</f>
        <v/>
      </c>
      <c r="L462" s="152" t="str">
        <f>IF(VLOOKUP(A433,'Aux - pivots1'!$A:$E,5,0)=0, "",VLOOKUP(A433,'Aux - pivots1'!$A:$E,5,0))</f>
        <v/>
      </c>
      <c r="M462" s="205"/>
      <c r="N462" s="205"/>
      <c r="O462" s="337" t="s">
        <v>29</v>
      </c>
    </row>
    <row r="463" spans="1:17" ht="16.2" customHeight="1">
      <c r="A463" s="29" t="str">
        <f t="shared" si="6"/>
        <v>modesg_out_empr_info_nfinflg_rsc_fsc_agd</v>
      </c>
      <c r="B463" s="141" t="s">
        <v>26</v>
      </c>
      <c r="C463" s="137" t="s">
        <v>310</v>
      </c>
      <c r="D463" s="133" t="s">
        <v>40</v>
      </c>
      <c r="E463" s="134" t="s">
        <v>325</v>
      </c>
      <c r="F463" s="133" t="s">
        <v>282</v>
      </c>
      <c r="G463" s="135" t="str">
        <f>VLOOKUP(A463,Plano_V3!$A$26:$G$753,7,0)</f>
        <v>2.2 Em Re-especificação</v>
      </c>
      <c r="H463" s="135" t="s">
        <v>612</v>
      </c>
      <c r="I463" s="153"/>
      <c r="J463" s="152" t="str">
        <f>IF(VLOOKUP(A434,'Aux - pivots1'!$A:$E,3,0)=0, "",VLOOKUP(A434,'Aux - pivots1'!$A:$E,3,0))</f>
        <v/>
      </c>
      <c r="K463" s="152" t="str">
        <f>IF(VLOOKUP(A434,'Aux - pivots1'!$A:$E,4,0)=0, "",VLOOKUP(A434,'Aux - pivots1'!$A:$E,4,0))</f>
        <v/>
      </c>
      <c r="L463" s="152" t="str">
        <f>IF(VLOOKUP(A434,'Aux - pivots1'!$A:$E,5,0)=0, "",VLOOKUP(A434,'Aux - pivots1'!$A:$E,5,0))</f>
        <v/>
      </c>
      <c r="M463" s="205"/>
      <c r="N463" s="205"/>
      <c r="O463" s="337" t="s">
        <v>29</v>
      </c>
      <c r="Q463" s="268" t="s">
        <v>1884</v>
      </c>
    </row>
    <row r="464" spans="1:17" ht="16.2" customHeight="1">
      <c r="A464" s="29" t="str">
        <f t="shared" si="6"/>
        <v>modesg_out_empr_info_nfinflg_rsc_fsc_crnc</v>
      </c>
      <c r="B464" s="141" t="s">
        <v>26</v>
      </c>
      <c r="C464" s="137" t="s">
        <v>310</v>
      </c>
      <c r="D464" s="133" t="s">
        <v>40</v>
      </c>
      <c r="E464" s="134" t="s">
        <v>325</v>
      </c>
      <c r="F464" s="133" t="s">
        <v>283</v>
      </c>
      <c r="G464" s="135" t="str">
        <f>VLOOKUP(A464,Plano_V3!$A$26:$G$753,7,0)</f>
        <v>2.2 Em Re-especificação</v>
      </c>
      <c r="H464" s="135" t="s">
        <v>612</v>
      </c>
      <c r="I464" s="153"/>
      <c r="J464" s="152" t="str">
        <f>IF(VLOOKUP(A435,'Aux - pivots1'!$A:$E,3,0)=0, "",VLOOKUP(A435,'Aux - pivots1'!$A:$E,3,0))</f>
        <v/>
      </c>
      <c r="K464" s="152" t="str">
        <f>IF(VLOOKUP(A435,'Aux - pivots1'!$A:$E,4,0)=0, "",VLOOKUP(A435,'Aux - pivots1'!$A:$E,4,0))</f>
        <v/>
      </c>
      <c r="L464" s="152" t="str">
        <f>IF(VLOOKUP(A435,'Aux - pivots1'!$A:$E,5,0)=0, "",VLOOKUP(A435,'Aux - pivots1'!$A:$E,5,0))</f>
        <v/>
      </c>
      <c r="M464" s="205"/>
      <c r="N464" s="205"/>
      <c r="O464" s="337" t="s">
        <v>29</v>
      </c>
      <c r="Q464" s="268" t="s">
        <v>1884</v>
      </c>
    </row>
    <row r="465" spans="1:17" ht="16.2"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2" t="str">
        <f>IF(VLOOKUP(A436,'Aux - pivots1'!$A:$E,3,0)=0, "",VLOOKUP(A436,'Aux - pivots1'!$A:$E,3,0))</f>
        <v/>
      </c>
      <c r="K465" s="152" t="str">
        <f>IF(VLOOKUP(A436,'Aux - pivots1'!$A:$E,4,0)=0, "",VLOOKUP(A436,'Aux - pivots1'!$A:$E,4,0))</f>
        <v/>
      </c>
      <c r="L465" s="152" t="str">
        <f>IF(VLOOKUP(A436,'Aux - pivots1'!$A:$E,5,0)=0, "",VLOOKUP(A436,'Aux - pivots1'!$A:$E,5,0))</f>
        <v/>
      </c>
      <c r="M465" s="205"/>
      <c r="N465" s="205"/>
      <c r="O465" s="337" t="s">
        <v>29</v>
      </c>
    </row>
    <row r="466" spans="1:17" ht="16.2"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1862</v>
      </c>
      <c r="I466" s="153"/>
      <c r="J466" s="152" t="str">
        <f>IF(VLOOKUP(A437,'Aux - pivots1'!$A:$E,3,0)=0, "",VLOOKUP(A437,'Aux - pivots1'!$A:$E,3,0))</f>
        <v/>
      </c>
      <c r="K466" s="152" t="str">
        <f>IF(VLOOKUP(A437,'Aux - pivots1'!$A:$E,4,0)=0, "",VLOOKUP(A437,'Aux - pivots1'!$A:$E,4,0))</f>
        <v/>
      </c>
      <c r="L466" s="152" t="str">
        <f>IF(VLOOKUP(A437,'Aux - pivots1'!$A:$E,5,0)=0, "",VLOOKUP(A437,'Aux - pivots1'!$A:$E,5,0))</f>
        <v/>
      </c>
      <c r="M466" s="205"/>
      <c r="N466" s="205"/>
      <c r="O466" s="337" t="s">
        <v>29</v>
      </c>
    </row>
    <row r="467" spans="1:17" ht="16.2"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2" t="str">
        <f>IF(VLOOKUP(A438,'Aux - pivots1'!$A:$E,3,0)=0, "",VLOOKUP(A438,'Aux - pivots1'!$A:$E,3,0))</f>
        <v/>
      </c>
      <c r="K467" s="152" t="str">
        <f>IF(VLOOKUP(A438,'Aux - pivots1'!$A:$E,4,0)=0, "",VLOOKUP(A438,'Aux - pivots1'!$A:$E,4,0))</f>
        <v/>
      </c>
      <c r="L467" s="152" t="str">
        <f>IF(VLOOKUP(A438,'Aux - pivots1'!$A:$E,5,0)=0, "",VLOOKUP(A438,'Aux - pivots1'!$A:$E,5,0))</f>
        <v/>
      </c>
      <c r="M467" s="205"/>
      <c r="N467" s="205"/>
      <c r="O467" s="337" t="s">
        <v>29</v>
      </c>
    </row>
    <row r="468" spans="1:17" ht="16.2" customHeight="1">
      <c r="A468" s="29" t="str">
        <f t="shared" si="6"/>
        <v>modesg_out_empr_info_nfinorigem_flg_rsc_fsc_agd</v>
      </c>
      <c r="B468" s="141" t="s">
        <v>26</v>
      </c>
      <c r="C468" s="137" t="s">
        <v>310</v>
      </c>
      <c r="D468" s="133" t="s">
        <v>40</v>
      </c>
      <c r="E468" s="134" t="s">
        <v>325</v>
      </c>
      <c r="F468" s="133" t="s">
        <v>317</v>
      </c>
      <c r="G468" s="135" t="str">
        <f>VLOOKUP(A468,Plano_V3!$A$26:$G$753,7,0)</f>
        <v>2.2 Em Re-especificação</v>
      </c>
      <c r="H468" s="135" t="s">
        <v>612</v>
      </c>
      <c r="I468" s="153"/>
      <c r="J468" s="152" t="str">
        <f>IF(VLOOKUP(A439,'Aux - pivots1'!$A:$E,3,0)=0, "",VLOOKUP(A439,'Aux - pivots1'!$A:$E,3,0))</f>
        <v/>
      </c>
      <c r="K468" s="152" t="str">
        <f>IF(VLOOKUP(A439,'Aux - pivots1'!$A:$E,4,0)=0, "",VLOOKUP(A439,'Aux - pivots1'!$A:$E,4,0))</f>
        <v/>
      </c>
      <c r="L468" s="152" t="str">
        <f>IF(VLOOKUP(A439,'Aux - pivots1'!$A:$E,5,0)=0, "",VLOOKUP(A439,'Aux - pivots1'!$A:$E,5,0))</f>
        <v/>
      </c>
      <c r="M468" s="205"/>
      <c r="N468" s="205"/>
      <c r="O468" s="337" t="s">
        <v>29</v>
      </c>
      <c r="Q468" s="268" t="s">
        <v>1884</v>
      </c>
    </row>
    <row r="469" spans="1:17" ht="16.2" customHeight="1">
      <c r="A469" s="29" t="str">
        <f t="shared" si="6"/>
        <v>modesg_out_empr_info_nfinorigem_flg_rsc_fsc_crnc</v>
      </c>
      <c r="B469" s="141" t="s">
        <v>26</v>
      </c>
      <c r="C469" s="137" t="s">
        <v>310</v>
      </c>
      <c r="D469" s="133" t="s">
        <v>40</v>
      </c>
      <c r="E469" s="134" t="s">
        <v>325</v>
      </c>
      <c r="F469" s="133" t="s">
        <v>318</v>
      </c>
      <c r="G469" s="135" t="str">
        <f>VLOOKUP(A469,Plano_V3!$A$26:$G$753,7,0)</f>
        <v>2.2 Em Re-especificação</v>
      </c>
      <c r="H469" s="135" t="s">
        <v>612</v>
      </c>
      <c r="I469" s="153"/>
      <c r="J469" s="152" t="str">
        <f>IF(VLOOKUP(A460,'Aux - pivots1'!$A:$E,3,0)=0, "",VLOOKUP(A460,'Aux - pivots1'!$A:$E,3,0))</f>
        <v/>
      </c>
      <c r="K469" s="152" t="str">
        <f>IF(VLOOKUP(A460,'Aux - pivots1'!$A:$E,4,0)=0, "",VLOOKUP(A460,'Aux - pivots1'!$A:$E,4,0))</f>
        <v/>
      </c>
      <c r="L469" s="152" t="str">
        <f>IF(VLOOKUP(A460,'Aux - pivots1'!$A:$E,5,0)=0, "",VLOOKUP(A460,'Aux - pivots1'!$A:$E,5,0))</f>
        <v/>
      </c>
      <c r="M469" s="205"/>
      <c r="N469" s="205"/>
      <c r="O469" s="337" t="s">
        <v>29</v>
      </c>
      <c r="Q469" s="268" t="s">
        <v>1884</v>
      </c>
    </row>
    <row r="470" spans="1:17" ht="16.2"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617</v>
      </c>
      <c r="I470" s="153"/>
      <c r="J470" s="152" t="str">
        <f>IF(VLOOKUP(A461,'Aux - pivots1'!$A:$E,3,0)=0, "",VLOOKUP(A461,'Aux - pivots1'!$A:$E,3,0))</f>
        <v/>
      </c>
      <c r="K470" s="152" t="str">
        <f>IF(VLOOKUP(A461,'Aux - pivots1'!$A:$E,4,0)=0, "",VLOOKUP(A461,'Aux - pivots1'!$A:$E,4,0))</f>
        <v/>
      </c>
      <c r="L470" s="152" t="str">
        <f>IF(VLOOKUP(A461,'Aux - pivots1'!$A:$E,5,0)=0, "",VLOOKUP(A461,'Aux - pivots1'!$A:$E,5,0))</f>
        <v/>
      </c>
      <c r="M470" s="205"/>
      <c r="N470" s="205"/>
      <c r="O470" s="337" t="s">
        <v>29</v>
      </c>
      <c r="Q470" s="268" t="s">
        <v>1884</v>
      </c>
    </row>
    <row r="471" spans="1:17" ht="16.2"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617</v>
      </c>
      <c r="I471" s="153"/>
      <c r="J471" s="152" t="str">
        <f>IF(VLOOKUP(A462,'Aux - pivots1'!$A:$E,3,0)=0, "",VLOOKUP(A462,'Aux - pivots1'!$A:$E,3,0))</f>
        <v/>
      </c>
      <c r="K471" s="152" t="str">
        <f>IF(VLOOKUP(A462,'Aux - pivots1'!$A:$E,4,0)=0, "",VLOOKUP(A462,'Aux - pivots1'!$A:$E,4,0))</f>
        <v/>
      </c>
      <c r="L471" s="152" t="str">
        <f>IF(VLOOKUP(A462,'Aux - pivots1'!$A:$E,5,0)=0, "",VLOOKUP(A462,'Aux - pivots1'!$A:$E,5,0))</f>
        <v/>
      </c>
      <c r="M471" s="205"/>
      <c r="N471" s="205"/>
      <c r="O471" s="337" t="s">
        <v>29</v>
      </c>
      <c r="Q471" s="268" t="s">
        <v>1884</v>
      </c>
    </row>
    <row r="472" spans="1:17" ht="16.2"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617</v>
      </c>
      <c r="I472" s="153"/>
      <c r="J472" s="152" t="str">
        <f>IF(VLOOKUP(A463,'Aux - pivots1'!$A:$E,3,0)=0, "",VLOOKUP(A463,'Aux - pivots1'!$A:$E,3,0))</f>
        <v/>
      </c>
      <c r="K472" s="152" t="str">
        <f>IF(VLOOKUP(A463,'Aux - pivots1'!$A:$E,4,0)=0, "",VLOOKUP(A463,'Aux - pivots1'!$A:$E,4,0))</f>
        <v/>
      </c>
      <c r="L472" s="152" t="str">
        <f>IF(VLOOKUP(A463,'Aux - pivots1'!$A:$E,5,0)=0, "",VLOOKUP(A463,'Aux - pivots1'!$A:$E,5,0))</f>
        <v/>
      </c>
      <c r="M472" s="205"/>
      <c r="N472" s="205"/>
      <c r="O472" s="337" t="s">
        <v>29</v>
      </c>
      <c r="Q472" s="268" t="s">
        <v>1884</v>
      </c>
    </row>
    <row r="473" spans="1:17" ht="16.2"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2" t="str">
        <f>IF(VLOOKUP(A464,'Aux - pivots1'!$A:$E,3,0)=0, "",VLOOKUP(A464,'Aux - pivots1'!$A:$E,3,0))</f>
        <v/>
      </c>
      <c r="K473" s="152" t="str">
        <f>IF(VLOOKUP(A464,'Aux - pivots1'!$A:$E,4,0)=0, "",VLOOKUP(A464,'Aux - pivots1'!$A:$E,4,0))</f>
        <v/>
      </c>
      <c r="L473" s="152" t="str">
        <f>IF(VLOOKUP(A464,'Aux - pivots1'!$A:$E,5,0)=0, "",VLOOKUP(A464,'Aux - pivots1'!$A:$E,5,0))</f>
        <v/>
      </c>
      <c r="M473" s="205"/>
      <c r="N473" s="205"/>
      <c r="O473" s="337" t="s">
        <v>29</v>
      </c>
    </row>
    <row r="474" spans="1:17" ht="16.2"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617</v>
      </c>
      <c r="I474" s="153"/>
      <c r="J474" s="152" t="str">
        <f>IF(VLOOKUP(A465,'Aux - pivots1'!$A:$E,3,0)=0, "",VLOOKUP(A465,'Aux - pivots1'!$A:$E,3,0))</f>
        <v/>
      </c>
      <c r="K474" s="152" t="str">
        <f>IF(VLOOKUP(A465,'Aux - pivots1'!$A:$E,4,0)=0, "",VLOOKUP(A465,'Aux - pivots1'!$A:$E,4,0))</f>
        <v/>
      </c>
      <c r="L474" s="152" t="str">
        <f>IF(VLOOKUP(A465,'Aux - pivots1'!$A:$E,5,0)=0, "",VLOOKUP(A465,'Aux - pivots1'!$A:$E,5,0))</f>
        <v/>
      </c>
      <c r="M474" s="205"/>
      <c r="N474" s="205"/>
      <c r="O474" s="337" t="s">
        <v>29</v>
      </c>
      <c r="Q474" s="268" t="s">
        <v>1884</v>
      </c>
    </row>
    <row r="475" spans="1:17" ht="16.2"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617</v>
      </c>
      <c r="I475" s="153"/>
      <c r="J475" s="152" t="str">
        <f>IF(VLOOKUP(A466,'Aux - pivots1'!$A:$E,3,0)=0, "",VLOOKUP(A466,'Aux - pivots1'!$A:$E,3,0))</f>
        <v/>
      </c>
      <c r="K475" s="152" t="str">
        <f>IF(VLOOKUP(A466,'Aux - pivots1'!$A:$E,4,0)=0, "",VLOOKUP(A466,'Aux - pivots1'!$A:$E,4,0))</f>
        <v/>
      </c>
      <c r="L475" s="152" t="str">
        <f>IF(VLOOKUP(A466,'Aux - pivots1'!$A:$E,5,0)=0, "",VLOOKUP(A466,'Aux - pivots1'!$A:$E,5,0))</f>
        <v/>
      </c>
      <c r="M475" s="205"/>
      <c r="N475" s="205"/>
      <c r="O475" s="337" t="s">
        <v>29</v>
      </c>
      <c r="Q475" s="268" t="s">
        <v>1884</v>
      </c>
    </row>
    <row r="476" spans="1:17" ht="16.2"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617</v>
      </c>
      <c r="I476" s="153"/>
      <c r="J476" s="152" t="str">
        <f>IF(VLOOKUP(A467,'Aux - pivots1'!$A:$E,3,0)=0, "",VLOOKUP(A467,'Aux - pivots1'!$A:$E,3,0))</f>
        <v/>
      </c>
      <c r="K476" s="152" t="str">
        <f>IF(VLOOKUP(A467,'Aux - pivots1'!$A:$E,4,0)=0, "",VLOOKUP(A467,'Aux - pivots1'!$A:$E,4,0))</f>
        <v/>
      </c>
      <c r="L476" s="152" t="str">
        <f>IF(VLOOKUP(A467,'Aux - pivots1'!$A:$E,5,0)=0, "",VLOOKUP(A467,'Aux - pivots1'!$A:$E,5,0))</f>
        <v/>
      </c>
      <c r="M476" s="205"/>
      <c r="N476" s="205"/>
      <c r="O476" s="337" t="s">
        <v>29</v>
      </c>
      <c r="Q476" s="268" t="s">
        <v>1884</v>
      </c>
    </row>
    <row r="477" spans="1:17" ht="16.2"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2" t="str">
        <f>IF(VLOOKUP(A468,'Aux - pivots1'!$A:$E,3,0)=0, "",VLOOKUP(A468,'Aux - pivots1'!$A:$E,3,0))</f>
        <v/>
      </c>
      <c r="K477" s="152" t="str">
        <f>IF(VLOOKUP(A468,'Aux - pivots1'!$A:$E,4,0)=0, "",VLOOKUP(A468,'Aux - pivots1'!$A:$E,4,0))</f>
        <v/>
      </c>
      <c r="L477" s="152" t="str">
        <f>IF(VLOOKUP(A468,'Aux - pivots1'!$A:$E,5,0)=0, "",VLOOKUP(A468,'Aux - pivots1'!$A:$E,5,0))</f>
        <v/>
      </c>
      <c r="M477" s="205"/>
      <c r="N477" s="205"/>
      <c r="O477" s="337" t="s">
        <v>29</v>
      </c>
    </row>
    <row r="478" spans="1:17" ht="16.2"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t="s">
        <v>656</v>
      </c>
      <c r="J478" s="152" t="str">
        <f>IF(VLOOKUP(A469,'Aux - pivots1'!$A:$E,3,0)=0, "",VLOOKUP(A469,'Aux - pivots1'!$A:$E,3,0))</f>
        <v/>
      </c>
      <c r="K478" s="152" t="str">
        <f>IF(VLOOKUP(A469,'Aux - pivots1'!$A:$E,4,0)=0, "",VLOOKUP(A469,'Aux - pivots1'!$A:$E,4,0))</f>
        <v/>
      </c>
      <c r="L478" s="152" t="str">
        <f>IF(VLOOKUP(A469,'Aux - pivots1'!$A:$E,5,0)=0, "",VLOOKUP(A469,'Aux - pivots1'!$A:$E,5,0))</f>
        <v/>
      </c>
      <c r="M478" s="205"/>
      <c r="N478" s="205"/>
      <c r="O478" s="337" t="s">
        <v>29</v>
      </c>
    </row>
    <row r="479" spans="1:17" ht="16.2"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2" t="str">
        <f>IF(VLOOKUP(A470,'Aux - pivots1'!$A:$E,3,0)=0, "",VLOOKUP(A470,'Aux - pivots1'!$A:$E,3,0))</f>
        <v/>
      </c>
      <c r="K479" s="152" t="str">
        <f>IF(VLOOKUP(A470,'Aux - pivots1'!$A:$E,4,0)=0, "",VLOOKUP(A470,'Aux - pivots1'!$A:$E,4,0))</f>
        <v/>
      </c>
      <c r="L479" s="152" t="str">
        <f>IF(VLOOKUP(A470,'Aux - pivots1'!$A:$E,5,0)=0, "",VLOOKUP(A470,'Aux - pivots1'!$A:$E,5,0))</f>
        <v/>
      </c>
      <c r="M479" s="205"/>
      <c r="N479" s="205"/>
      <c r="O479" s="337" t="s">
        <v>29</v>
      </c>
    </row>
    <row r="480" spans="1:17" ht="16.2"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2" t="str">
        <f>IF(VLOOKUP(A471,'Aux - pivots1'!$A:$E,3,0)=0, "",VLOOKUP(A471,'Aux - pivots1'!$A:$E,3,0))</f>
        <v/>
      </c>
      <c r="K480" s="152" t="str">
        <f>IF(VLOOKUP(A471,'Aux - pivots1'!$A:$E,4,0)=0, "",VLOOKUP(A471,'Aux - pivots1'!$A:$E,4,0))</f>
        <v/>
      </c>
      <c r="L480" s="152" t="str">
        <f>IF(VLOOKUP(A471,'Aux - pivots1'!$A:$E,5,0)=0, "",VLOOKUP(A471,'Aux - pivots1'!$A:$E,5,0))</f>
        <v/>
      </c>
      <c r="M480" s="205"/>
      <c r="N480" s="205"/>
      <c r="O480" s="337" t="s">
        <v>29</v>
      </c>
    </row>
    <row r="481" spans="1:17" ht="16.2"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2" t="str">
        <f>IF(VLOOKUP(A472,'Aux - pivots1'!$A:$E,3,0)=0, "",VLOOKUP(A472,'Aux - pivots1'!$A:$E,3,0))</f>
        <v/>
      </c>
      <c r="K481" s="152" t="str">
        <f>IF(VLOOKUP(A472,'Aux - pivots1'!$A:$E,4,0)=0, "",VLOOKUP(A472,'Aux - pivots1'!$A:$E,4,0))</f>
        <v/>
      </c>
      <c r="L481" s="152" t="str">
        <f>IF(VLOOKUP(A472,'Aux - pivots1'!$A:$E,5,0)=0, "",VLOOKUP(A472,'Aux - pivots1'!$A:$E,5,0))</f>
        <v/>
      </c>
      <c r="M481" s="205"/>
      <c r="N481" s="205"/>
      <c r="O481" s="337" t="s">
        <v>29</v>
      </c>
    </row>
    <row r="482" spans="1:17" ht="16.2"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2" t="str">
        <f>IF(VLOOKUP(A473,'Aux - pivots1'!$A:$E,3,0)=0, "",VLOOKUP(A473,'Aux - pivots1'!$A:$E,3,0))</f>
        <v/>
      </c>
      <c r="K482" s="152" t="str">
        <f>IF(VLOOKUP(A473,'Aux - pivots1'!$A:$E,4,0)=0, "",VLOOKUP(A473,'Aux - pivots1'!$A:$E,4,0))</f>
        <v/>
      </c>
      <c r="L482" s="152" t="str">
        <f>IF(VLOOKUP(A473,'Aux - pivots1'!$A:$E,5,0)=0, "",VLOOKUP(A473,'Aux - pivots1'!$A:$E,5,0))</f>
        <v/>
      </c>
      <c r="M482" s="205"/>
      <c r="N482" s="205"/>
      <c r="O482" s="337" t="s">
        <v>29</v>
      </c>
    </row>
    <row r="483" spans="1:17" ht="16.2"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t="s">
        <v>656</v>
      </c>
      <c r="J483" s="152" t="str">
        <f>IF(VLOOKUP(A474,'Aux - pivots1'!$A:$E,3,0)=0, "",VLOOKUP(A474,'Aux - pivots1'!$A:$E,3,0))</f>
        <v/>
      </c>
      <c r="K483" s="152" t="str">
        <f>IF(VLOOKUP(A474,'Aux - pivots1'!$A:$E,4,0)=0, "",VLOOKUP(A474,'Aux - pivots1'!$A:$E,4,0))</f>
        <v/>
      </c>
      <c r="L483" s="152" t="str">
        <f>IF(VLOOKUP(A474,'Aux - pivots1'!$A:$E,5,0)=0, "",VLOOKUP(A474,'Aux - pivots1'!$A:$E,5,0))</f>
        <v/>
      </c>
      <c r="M483" s="205"/>
      <c r="N483" s="205"/>
      <c r="O483" s="337" t="s">
        <v>29</v>
      </c>
    </row>
    <row r="484" spans="1:17" ht="16.2"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t="s">
        <v>656</v>
      </c>
      <c r="J484" s="152" t="str">
        <f>IF(VLOOKUP(A475,'Aux - pivots1'!$A:$E,3,0)=0, "",VLOOKUP(A475,'Aux - pivots1'!$A:$E,3,0))</f>
        <v/>
      </c>
      <c r="K484" s="152" t="str">
        <f>IF(VLOOKUP(A475,'Aux - pivots1'!$A:$E,4,0)=0, "",VLOOKUP(A475,'Aux - pivots1'!$A:$E,4,0))</f>
        <v/>
      </c>
      <c r="L484" s="152" t="str">
        <f>IF(VLOOKUP(A475,'Aux - pivots1'!$A:$E,5,0)=0, "",VLOOKUP(A475,'Aux - pivots1'!$A:$E,5,0))</f>
        <v/>
      </c>
      <c r="M484" s="205"/>
      <c r="N484" s="205"/>
      <c r="O484" s="337" t="s">
        <v>29</v>
      </c>
    </row>
    <row r="485" spans="1:17" ht="16.2"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t="s">
        <v>656</v>
      </c>
      <c r="J485" s="152" t="str">
        <f>IF(VLOOKUP(A476,'Aux - pivots1'!$A:$E,3,0)=0, "",VLOOKUP(A476,'Aux - pivots1'!$A:$E,3,0))</f>
        <v/>
      </c>
      <c r="K485" s="152" t="str">
        <f>IF(VLOOKUP(A476,'Aux - pivots1'!$A:$E,4,0)=0, "",VLOOKUP(A476,'Aux - pivots1'!$A:$E,4,0))</f>
        <v/>
      </c>
      <c r="L485" s="152" t="str">
        <f>IF(VLOOKUP(A476,'Aux - pivots1'!$A:$E,5,0)=0, "",VLOOKUP(A476,'Aux - pivots1'!$A:$E,5,0))</f>
        <v/>
      </c>
      <c r="M485" s="205"/>
      <c r="N485" s="205"/>
      <c r="O485" s="337" t="s">
        <v>29</v>
      </c>
    </row>
    <row r="486" spans="1:17" ht="16.2"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t="s">
        <v>656</v>
      </c>
      <c r="J486" s="152" t="str">
        <f>IF(VLOOKUP(A477,'Aux - pivots1'!$A:$E,3,0)=0, "",VLOOKUP(A477,'Aux - pivots1'!$A:$E,3,0))</f>
        <v/>
      </c>
      <c r="K486" s="152" t="str">
        <f>IF(VLOOKUP(A477,'Aux - pivots1'!$A:$E,4,0)=0, "",VLOOKUP(A477,'Aux - pivots1'!$A:$E,4,0))</f>
        <v/>
      </c>
      <c r="L486" s="152" t="str">
        <f>IF(VLOOKUP(A477,'Aux - pivots1'!$A:$E,5,0)=0, "",VLOOKUP(A477,'Aux - pivots1'!$A:$E,5,0))</f>
        <v/>
      </c>
      <c r="M486" s="205"/>
      <c r="N486" s="205"/>
      <c r="O486" s="337" t="s">
        <v>29</v>
      </c>
    </row>
    <row r="487" spans="1:17" ht="16.2"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2" t="str">
        <f>IF(VLOOKUP(A478,'Aux - pivots1'!$A:$E,3,0)=0, "",VLOOKUP(A478,'Aux - pivots1'!$A:$E,3,0))</f>
        <v/>
      </c>
      <c r="K487" s="152" t="str">
        <f>IF(VLOOKUP(A478,'Aux - pivots1'!$A:$E,4,0)=0, "",VLOOKUP(A478,'Aux - pivots1'!$A:$E,4,0))</f>
        <v/>
      </c>
      <c r="L487" s="152" t="str">
        <f>IF(VLOOKUP(A478,'Aux - pivots1'!$A:$E,5,0)=0, "",VLOOKUP(A478,'Aux - pivots1'!$A:$E,5,0))</f>
        <v/>
      </c>
      <c r="M487" s="205"/>
      <c r="N487" s="205"/>
      <c r="O487" s="337" t="s">
        <v>29</v>
      </c>
    </row>
    <row r="488" spans="1:17" ht="16.2"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t="s">
        <v>656</v>
      </c>
      <c r="J488" s="152" t="str">
        <f>IF(VLOOKUP(A479,'Aux - pivots1'!$A:$E,3,0)=0, "",VLOOKUP(A479,'Aux - pivots1'!$A:$E,3,0))</f>
        <v/>
      </c>
      <c r="K488" s="152" t="str">
        <f>IF(VLOOKUP(A479,'Aux - pivots1'!$A:$E,4,0)=0, "",VLOOKUP(A479,'Aux - pivots1'!$A:$E,4,0))</f>
        <v/>
      </c>
      <c r="L488" s="152" t="str">
        <f>IF(VLOOKUP(A479,'Aux - pivots1'!$A:$E,5,0)=0, "",VLOOKUP(A479,'Aux - pivots1'!$A:$E,5,0))</f>
        <v/>
      </c>
      <c r="M488" s="205"/>
      <c r="N488" s="205"/>
      <c r="O488" s="337" t="s">
        <v>29</v>
      </c>
    </row>
    <row r="489" spans="1:17" ht="16.2"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t="s">
        <v>656</v>
      </c>
      <c r="J489" s="152" t="str">
        <f>IF(VLOOKUP(A480,'Aux - pivots1'!$A:$E,3,0)=0, "",VLOOKUP(A480,'Aux - pivots1'!$A:$E,3,0))</f>
        <v/>
      </c>
      <c r="K489" s="152" t="str">
        <f>IF(VLOOKUP(A480,'Aux - pivots1'!$A:$E,4,0)=0, "",VLOOKUP(A480,'Aux - pivots1'!$A:$E,4,0))</f>
        <v/>
      </c>
      <c r="L489" s="152" t="str">
        <f>IF(VLOOKUP(A480,'Aux - pivots1'!$A:$E,5,0)=0, "",VLOOKUP(A480,'Aux - pivots1'!$A:$E,5,0))</f>
        <v/>
      </c>
      <c r="M489" s="205"/>
      <c r="N489" s="205"/>
      <c r="O489" s="337" t="s">
        <v>29</v>
      </c>
    </row>
    <row r="490" spans="1:17" ht="16.2"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t="s">
        <v>656</v>
      </c>
      <c r="J490" s="152" t="str">
        <f>IF(VLOOKUP(A481,'Aux - pivots1'!$A:$E,3,0)=0, "",VLOOKUP(A481,'Aux - pivots1'!$A:$E,3,0))</f>
        <v/>
      </c>
      <c r="K490" s="152" t="str">
        <f>IF(VLOOKUP(A481,'Aux - pivots1'!$A:$E,4,0)=0, "",VLOOKUP(A481,'Aux - pivots1'!$A:$E,4,0))</f>
        <v/>
      </c>
      <c r="L490" s="152" t="str">
        <f>IF(VLOOKUP(A481,'Aux - pivots1'!$A:$E,5,0)=0, "",VLOOKUP(A481,'Aux - pivots1'!$A:$E,5,0))</f>
        <v/>
      </c>
      <c r="M490" s="205"/>
      <c r="N490" s="205"/>
      <c r="O490" s="337" t="s">
        <v>29</v>
      </c>
    </row>
    <row r="491" spans="1:17" ht="16.2"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2" t="str">
        <f>IF(VLOOKUP(A482,'Aux - pivots1'!$A:$E,3,0)=0, "",VLOOKUP(A482,'Aux - pivots1'!$A:$E,3,0))</f>
        <v/>
      </c>
      <c r="K491" s="152" t="str">
        <f>IF(VLOOKUP(A482,'Aux - pivots1'!$A:$E,4,0)=0, "",VLOOKUP(A482,'Aux - pivots1'!$A:$E,4,0))</f>
        <v/>
      </c>
      <c r="L491" s="152" t="str">
        <f>IF(VLOOKUP(A482,'Aux - pivots1'!$A:$E,5,0)=0, "",VLOOKUP(A482,'Aux - pivots1'!$A:$E,5,0))</f>
        <v/>
      </c>
      <c r="M491" s="205"/>
      <c r="N491" s="205"/>
      <c r="O491" s="337" t="s">
        <v>29</v>
      </c>
    </row>
    <row r="492" spans="1:17" ht="16.2"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2" t="str">
        <f>IF(VLOOKUP(A483,'Aux - pivots1'!$A:$E,3,0)=0, "",VLOOKUP(A483,'Aux - pivots1'!$A:$E,3,0))</f>
        <v/>
      </c>
      <c r="K492" s="152" t="str">
        <f>IF(VLOOKUP(A483,'Aux - pivots1'!$A:$E,4,0)=0, "",VLOOKUP(A483,'Aux - pivots1'!$A:$E,4,0))</f>
        <v/>
      </c>
      <c r="L492" s="152" t="str">
        <f>IF(VLOOKUP(A483,'Aux - pivots1'!$A:$E,5,0)=0, "",VLOOKUP(A483,'Aux - pivots1'!$A:$E,5,0))</f>
        <v/>
      </c>
      <c r="M492" s="205"/>
      <c r="N492" s="205"/>
      <c r="O492" s="337" t="s">
        <v>29</v>
      </c>
    </row>
    <row r="493" spans="1:17" ht="16.2"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2" t="str">
        <f>IF(VLOOKUP(A484,'Aux - pivots1'!$A:$E,3,0)=0, "",VLOOKUP(A484,'Aux - pivots1'!$A:$E,3,0))</f>
        <v/>
      </c>
      <c r="K493" s="152" t="str">
        <f>IF(VLOOKUP(A484,'Aux - pivots1'!$A:$E,4,0)=0, "",VLOOKUP(A484,'Aux - pivots1'!$A:$E,4,0))</f>
        <v/>
      </c>
      <c r="L493" s="152" t="str">
        <f>IF(VLOOKUP(A484,'Aux - pivots1'!$A:$E,5,0)=0, "",VLOOKUP(A484,'Aux - pivots1'!$A:$E,5,0))</f>
        <v/>
      </c>
      <c r="M493" s="205"/>
      <c r="N493" s="205"/>
      <c r="O493" s="337" t="s">
        <v>29</v>
      </c>
    </row>
    <row r="494" spans="1:17" ht="16.2" customHeight="1">
      <c r="A494" s="29" t="str">
        <f t="shared" si="7"/>
        <v>modesg_out_sfics_taxon_europeian.a.</v>
      </c>
      <c r="B494" s="141" t="s">
        <v>26</v>
      </c>
      <c r="C494" s="137" t="s">
        <v>310</v>
      </c>
      <c r="D494" s="133" t="s">
        <v>36</v>
      </c>
      <c r="E494" s="134" t="s">
        <v>2137</v>
      </c>
      <c r="F494" s="133" t="s">
        <v>38</v>
      </c>
      <c r="G494" s="135" t="str">
        <f>VLOOKUP(A494,Plano_V3!$A$26:$G$753,7,0)</f>
        <v>4. Validação EF</v>
      </c>
      <c r="H494" s="135" t="s">
        <v>1863</v>
      </c>
      <c r="I494" s="142" t="s">
        <v>655</v>
      </c>
      <c r="J494" s="152" t="str">
        <f>IF(VLOOKUP(A485,'Aux - pivots1'!$A:$E,3,0)=0, "",VLOOKUP(A485,'Aux - pivots1'!$A:$E,3,0))</f>
        <v/>
      </c>
      <c r="K494" s="152" t="str">
        <f>IF(VLOOKUP(A485,'Aux - pivots1'!$A:$E,4,0)=0, "",VLOOKUP(A485,'Aux - pivots1'!$A:$E,4,0))</f>
        <v/>
      </c>
      <c r="L494" s="152" t="str">
        <f>IF(VLOOKUP(A485,'Aux - pivots1'!$A:$E,5,0)=0, "",VLOOKUP(A485,'Aux - pivots1'!$A:$E,5,0))</f>
        <v/>
      </c>
      <c r="M494" s="205"/>
      <c r="N494" s="205"/>
      <c r="O494" s="337" t="s">
        <v>29</v>
      </c>
      <c r="Q494" s="268" t="s">
        <v>2375</v>
      </c>
    </row>
    <row r="495" spans="1:17" ht="16.2" customHeight="1">
      <c r="A495" s="29" t="str">
        <f t="shared" si="7"/>
        <v>modesg_out_sfics_taxon_europeiacbalcao</v>
      </c>
      <c r="B495" s="141" t="s">
        <v>26</v>
      </c>
      <c r="C495" s="137" t="s">
        <v>310</v>
      </c>
      <c r="D495" s="133" t="s">
        <v>40</v>
      </c>
      <c r="E495" s="134" t="s">
        <v>2137</v>
      </c>
      <c r="F495" s="133" t="s">
        <v>183</v>
      </c>
      <c r="G495" s="135" t="str">
        <f>VLOOKUP(A495,Plano_V3!$A$26:$G$753,7,0)</f>
        <v>4. Validação EF</v>
      </c>
      <c r="H495" s="135" t="s">
        <v>1863</v>
      </c>
      <c r="I495" s="142" t="s">
        <v>655</v>
      </c>
      <c r="J495" s="152" t="str">
        <f>IF(VLOOKUP(A486,'Aux - pivots1'!$A:$E,3,0)=0, "",VLOOKUP(A486,'Aux - pivots1'!$A:$E,3,0))</f>
        <v/>
      </c>
      <c r="K495" s="152" t="str">
        <f>IF(VLOOKUP(A486,'Aux - pivots1'!$A:$E,4,0)=0, "",VLOOKUP(A486,'Aux - pivots1'!$A:$E,4,0))</f>
        <v/>
      </c>
      <c r="L495" s="152" t="str">
        <f>IF(VLOOKUP(A486,'Aux - pivots1'!$A:$E,5,0)=0, "",VLOOKUP(A486,'Aux - pivots1'!$A:$E,5,0))</f>
        <v/>
      </c>
      <c r="M495" s="205"/>
      <c r="N495" s="205"/>
      <c r="O495" s="337" t="s">
        <v>29</v>
      </c>
      <c r="Q495" s="268" t="s">
        <v>2375</v>
      </c>
    </row>
    <row r="496" spans="1:17" ht="16.2" customHeight="1">
      <c r="A496" s="29" t="str">
        <f t="shared" si="7"/>
        <v>modesg_out_sfics_taxon_europeiacempresa</v>
      </c>
      <c r="B496" s="141" t="s">
        <v>26</v>
      </c>
      <c r="C496" s="137" t="s">
        <v>310</v>
      </c>
      <c r="D496" s="133" t="s">
        <v>40</v>
      </c>
      <c r="E496" s="134" t="s">
        <v>2137</v>
      </c>
      <c r="F496" s="133" t="s">
        <v>184</v>
      </c>
      <c r="G496" s="135" t="str">
        <f>VLOOKUP(A496,Plano_V3!$A$26:$G$753,7,0)</f>
        <v>4. Validação EF</v>
      </c>
      <c r="H496" s="135" t="s">
        <v>1863</v>
      </c>
      <c r="I496" s="142" t="s">
        <v>655</v>
      </c>
      <c r="J496" s="152" t="str">
        <f>IF(VLOOKUP(A487,'Aux - pivots1'!$A:$E,3,0)=0, "",VLOOKUP(A487,'Aux - pivots1'!$A:$E,3,0))</f>
        <v/>
      </c>
      <c r="K496" s="152" t="str">
        <f>IF(VLOOKUP(A487,'Aux - pivots1'!$A:$E,4,0)=0, "",VLOOKUP(A487,'Aux - pivots1'!$A:$E,4,0))</f>
        <v/>
      </c>
      <c r="L496" s="152" t="str">
        <f>IF(VLOOKUP(A487,'Aux - pivots1'!$A:$E,5,0)=0, "",VLOOKUP(A487,'Aux - pivots1'!$A:$E,5,0))</f>
        <v/>
      </c>
      <c r="M496" s="205"/>
      <c r="N496" s="205"/>
      <c r="O496" s="337" t="s">
        <v>29</v>
      </c>
      <c r="Q496" s="268" t="s">
        <v>2375</v>
      </c>
    </row>
    <row r="497" spans="1:17" ht="16.2" customHeight="1">
      <c r="A497" s="29" t="str">
        <f t="shared" si="7"/>
        <v>modesg_out_sfics_taxon_europeiacnumecta</v>
      </c>
      <c r="B497" s="141" t="s">
        <v>26</v>
      </c>
      <c r="C497" s="137" t="s">
        <v>310</v>
      </c>
      <c r="D497" s="133" t="s">
        <v>40</v>
      </c>
      <c r="E497" s="134" t="s">
        <v>2137</v>
      </c>
      <c r="F497" s="133" t="s">
        <v>189</v>
      </c>
      <c r="G497" s="135" t="str">
        <f>VLOOKUP(A497,Plano_V3!$A$26:$G$753,7,0)</f>
        <v>4. Validação EF</v>
      </c>
      <c r="H497" s="135" t="s">
        <v>1863</v>
      </c>
      <c r="I497" s="142" t="s">
        <v>655</v>
      </c>
      <c r="J497" s="152" t="str">
        <f>IF(VLOOKUP(A488,'Aux - pivots1'!$A:$E,3,0)=0, "",VLOOKUP(A488,'Aux - pivots1'!$A:$E,3,0))</f>
        <v/>
      </c>
      <c r="K497" s="152" t="str">
        <f>IF(VLOOKUP(A488,'Aux - pivots1'!$A:$E,4,0)=0, "",VLOOKUP(A488,'Aux - pivots1'!$A:$E,4,0))</f>
        <v/>
      </c>
      <c r="L497" s="152" t="str">
        <f>IF(VLOOKUP(A488,'Aux - pivots1'!$A:$E,5,0)=0, "",VLOOKUP(A488,'Aux - pivots1'!$A:$E,5,0))</f>
        <v/>
      </c>
      <c r="M497" s="205"/>
      <c r="N497" s="205"/>
      <c r="O497" s="337" t="s">
        <v>29</v>
      </c>
      <c r="Q497" s="268" t="s">
        <v>2375</v>
      </c>
    </row>
    <row r="498" spans="1:17" ht="16.2" customHeight="1">
      <c r="A498" s="29" t="str">
        <f t="shared" si="7"/>
        <v>modesg_out_sfics_taxon_europeiacod_regra</v>
      </c>
      <c r="B498" s="141" t="s">
        <v>26</v>
      </c>
      <c r="C498" s="137" t="s">
        <v>310</v>
      </c>
      <c r="D498" s="133" t="s">
        <v>40</v>
      </c>
      <c r="E498" s="134" t="s">
        <v>2137</v>
      </c>
      <c r="F498" s="133" t="s">
        <v>191</v>
      </c>
      <c r="G498" s="135" t="str">
        <f>VLOOKUP(A498,Plano_V3!$A$26:$G$753,7,0)</f>
        <v>4. Validação EF</v>
      </c>
      <c r="H498" s="135" t="s">
        <v>1863</v>
      </c>
      <c r="I498" s="142" t="s">
        <v>655</v>
      </c>
      <c r="J498" s="152" t="str">
        <f>IF(VLOOKUP(A489,'Aux - pivots1'!$A:$E,3,0)=0, "",VLOOKUP(A489,'Aux - pivots1'!$A:$E,3,0))</f>
        <v/>
      </c>
      <c r="K498" s="152" t="str">
        <f>IF(VLOOKUP(A489,'Aux - pivots1'!$A:$E,4,0)=0, "",VLOOKUP(A489,'Aux - pivots1'!$A:$E,4,0))</f>
        <v/>
      </c>
      <c r="L498" s="152" t="str">
        <f>IF(VLOOKUP(A489,'Aux - pivots1'!$A:$E,5,0)=0, "",VLOOKUP(A489,'Aux - pivots1'!$A:$E,5,0))</f>
        <v/>
      </c>
      <c r="M498" s="205"/>
      <c r="N498" s="205"/>
      <c r="O498" s="337" t="s">
        <v>29</v>
      </c>
      <c r="Q498" s="268" t="s">
        <v>2375</v>
      </c>
    </row>
    <row r="499" spans="1:17" ht="16.2" customHeight="1">
      <c r="A499" s="29" t="str">
        <f t="shared" si="7"/>
        <v>modesg_out_sfics_taxon_europeiaordem</v>
      </c>
      <c r="B499" s="141" t="s">
        <v>26</v>
      </c>
      <c r="C499" s="137" t="s">
        <v>310</v>
      </c>
      <c r="D499" s="133" t="s">
        <v>40</v>
      </c>
      <c r="E499" s="134" t="s">
        <v>2137</v>
      </c>
      <c r="F499" s="133" t="s">
        <v>211</v>
      </c>
      <c r="G499" s="135" t="str">
        <f>VLOOKUP(A499,Plano_V3!$A$26:$G$753,7,0)</f>
        <v>0. Cancelado</v>
      </c>
      <c r="H499" s="135" t="s">
        <v>611</v>
      </c>
      <c r="I499" s="144" t="s">
        <v>654</v>
      </c>
      <c r="J499" s="152" t="str">
        <f>IF(VLOOKUP(A490,'Aux - pivots1'!$A:$E,3,0)=0, "",VLOOKUP(A490,'Aux - pivots1'!$A:$E,3,0))</f>
        <v/>
      </c>
      <c r="K499" s="152" t="str">
        <f>IF(VLOOKUP(A490,'Aux - pivots1'!$A:$E,4,0)=0, "",VLOOKUP(A490,'Aux - pivots1'!$A:$E,4,0))</f>
        <v/>
      </c>
      <c r="L499" s="152" t="str">
        <f>IF(VLOOKUP(A490,'Aux - pivots1'!$A:$E,5,0)=0, "",VLOOKUP(A490,'Aux - pivots1'!$A:$E,5,0))</f>
        <v/>
      </c>
      <c r="M499" s="205"/>
      <c r="N499" s="205"/>
      <c r="O499" s="337" t="s">
        <v>29</v>
      </c>
    </row>
    <row r="500" spans="1:17" ht="16.2" customHeight="1">
      <c r="A500" s="29" t="str">
        <f t="shared" si="7"/>
        <v>modesg_out_sfics_taxon_europeiamontante_pndrc</v>
      </c>
      <c r="B500" s="141" t="s">
        <v>26</v>
      </c>
      <c r="C500" s="137" t="s">
        <v>310</v>
      </c>
      <c r="D500" s="133" t="s">
        <v>40</v>
      </c>
      <c r="E500" s="134" t="s">
        <v>2137</v>
      </c>
      <c r="F500" s="133" t="s">
        <v>202</v>
      </c>
      <c r="G500" s="135" t="str">
        <f>VLOOKUP(A500,Plano_V3!$A$26:$G$753,7,0)</f>
        <v>4. Validação EF</v>
      </c>
      <c r="H500" s="135" t="s">
        <v>1863</v>
      </c>
      <c r="I500" s="142" t="s">
        <v>655</v>
      </c>
      <c r="J500" s="152" t="str">
        <f>IF(VLOOKUP(A491,'Aux - pivots1'!$A:$E,3,0)=0, "",VLOOKUP(A491,'Aux - pivots1'!$A:$E,3,0))</f>
        <v/>
      </c>
      <c r="K500" s="152" t="str">
        <f>IF(VLOOKUP(A491,'Aux - pivots1'!$A:$E,4,0)=0, "",VLOOKUP(A491,'Aux - pivots1'!$A:$E,4,0))</f>
        <v/>
      </c>
      <c r="L500" s="152" t="str">
        <f>IF(VLOOKUP(A491,'Aux - pivots1'!$A:$E,5,0)=0, "",VLOOKUP(A491,'Aux - pivots1'!$A:$E,5,0))</f>
        <v/>
      </c>
      <c r="M500" s="205"/>
      <c r="N500" s="205"/>
      <c r="O500" s="337" t="s">
        <v>29</v>
      </c>
      <c r="Q500" s="268" t="s">
        <v>2375</v>
      </c>
    </row>
    <row r="501" spans="1:17" ht="16.2" customHeight="1">
      <c r="A501" s="29" t="str">
        <f t="shared" si="7"/>
        <v>modesg_out_sfics_taxon_europeianome_ctgr_sfics</v>
      </c>
      <c r="B501" s="141" t="s">
        <v>26</v>
      </c>
      <c r="C501" s="137" t="s">
        <v>310</v>
      </c>
      <c r="D501" s="133" t="s">
        <v>40</v>
      </c>
      <c r="E501" s="134" t="s">
        <v>2137</v>
      </c>
      <c r="F501" s="133" t="s">
        <v>2101</v>
      </c>
      <c r="G501" s="135" t="str">
        <f>VLOOKUP(A501,Plano_V3!$A$26:$G$753,7,0)</f>
        <v>4. Validação EF</v>
      </c>
      <c r="H501" s="135" t="s">
        <v>1863</v>
      </c>
      <c r="I501" s="142" t="s">
        <v>655</v>
      </c>
      <c r="J501" s="152" t="str">
        <f>IF(VLOOKUP(A492,'Aux - pivots1'!$A:$E,3,0)=0, "",VLOOKUP(A492,'Aux - pivots1'!$A:$E,3,0))</f>
        <v/>
      </c>
      <c r="K501" s="152" t="str">
        <f>IF(VLOOKUP(A492,'Aux - pivots1'!$A:$E,4,0)=0, "",VLOOKUP(A492,'Aux - pivots1'!$A:$E,4,0))</f>
        <v/>
      </c>
      <c r="L501" s="152" t="str">
        <f>IF(VLOOKUP(A492,'Aux - pivots1'!$A:$E,5,0)=0, "",VLOOKUP(A492,'Aux - pivots1'!$A:$E,5,0))</f>
        <v/>
      </c>
      <c r="M501" s="205"/>
      <c r="N501" s="205"/>
      <c r="O501" s="337" t="s">
        <v>29</v>
      </c>
      <c r="Q501" s="268" t="s">
        <v>2375</v>
      </c>
    </row>
    <row r="502" spans="1:17" ht="16.2" customHeight="1">
      <c r="A502" s="29" t="str">
        <f t="shared" si="7"/>
        <v>modesg_out_sfics_taxon_europeianome_general_specific_purpose</v>
      </c>
      <c r="B502" s="141" t="s">
        <v>26</v>
      </c>
      <c r="C502" s="137" t="s">
        <v>310</v>
      </c>
      <c r="D502" s="133" t="s">
        <v>40</v>
      </c>
      <c r="E502" s="134" t="s">
        <v>2137</v>
      </c>
      <c r="F502" s="133" t="s">
        <v>204</v>
      </c>
      <c r="G502" s="135" t="str">
        <f>VLOOKUP(A502,Plano_V3!$A$26:$G$753,7,0)</f>
        <v>4. Validação EF</v>
      </c>
      <c r="H502" s="135" t="s">
        <v>1863</v>
      </c>
      <c r="I502" s="142" t="s">
        <v>655</v>
      </c>
      <c r="J502" s="152" t="str">
        <f>IF(VLOOKUP(A493,'Aux - pivots1'!$A:$E,3,0)=0, "",VLOOKUP(A493,'Aux - pivots1'!$A:$E,3,0))</f>
        <v/>
      </c>
      <c r="K502" s="152" t="str">
        <f>IF(VLOOKUP(A493,'Aux - pivots1'!$A:$E,4,0)=0, "",VLOOKUP(A493,'Aux - pivots1'!$A:$E,4,0))</f>
        <v/>
      </c>
      <c r="L502" s="152" t="str">
        <f>IF(VLOOKUP(A493,'Aux - pivots1'!$A:$E,5,0)=0, "",VLOOKUP(A493,'Aux - pivots1'!$A:$E,5,0))</f>
        <v/>
      </c>
      <c r="M502" s="205"/>
      <c r="N502" s="205"/>
      <c r="O502" s="337" t="s">
        <v>29</v>
      </c>
      <c r="Q502" s="268" t="s">
        <v>2375</v>
      </c>
    </row>
    <row r="503" spans="1:17" ht="16.2" customHeight="1">
      <c r="A503" s="29" t="str">
        <f t="shared" si="7"/>
        <v>modesg_out_sfics_taxon_europeianome_purpose_esg_alinh_tax</v>
      </c>
      <c r="B503" s="141" t="s">
        <v>26</v>
      </c>
      <c r="C503" s="137" t="s">
        <v>310</v>
      </c>
      <c r="D503" s="133" t="s">
        <v>40</v>
      </c>
      <c r="E503" s="134" t="s">
        <v>2137</v>
      </c>
      <c r="F503" s="421" t="s">
        <v>2115</v>
      </c>
      <c r="G503" s="135" t="str">
        <f>VLOOKUP(A503,Plano_V3!$A$26:$G$753,7,0)</f>
        <v>4. Validação EF</v>
      </c>
      <c r="H503" s="135" t="s">
        <v>1863</v>
      </c>
      <c r="I503" s="142" t="s">
        <v>655</v>
      </c>
      <c r="J503" s="152" t="str">
        <f>IF(VLOOKUP(A494,'Aux - pivots1'!$A:$E,3,0)=0, "",VLOOKUP(A494,'Aux - pivots1'!$A:$E,3,0))</f>
        <v/>
      </c>
      <c r="K503" s="152" t="str">
        <f>IF(VLOOKUP(A494,'Aux - pivots1'!$A:$E,4,0)=0, "",VLOOKUP(A494,'Aux - pivots1'!$A:$E,4,0))</f>
        <v/>
      </c>
      <c r="L503" s="152" t="str">
        <f>IF(VLOOKUP(A494,'Aux - pivots1'!$A:$E,5,0)=0, "",VLOOKUP(A494,'Aux - pivots1'!$A:$E,5,0))</f>
        <v/>
      </c>
      <c r="M503" s="205"/>
      <c r="N503" s="205"/>
      <c r="O503" s="337" t="s">
        <v>29</v>
      </c>
      <c r="Q503" s="268" t="s">
        <v>2375</v>
      </c>
    </row>
    <row r="504" spans="1:17" ht="16.2" customHeight="1">
      <c r="A504" s="29" t="str">
        <f t="shared" si="7"/>
        <v>modesg_out_sfics_taxon_europeianome_purpose_esg_nalinh_tax</v>
      </c>
      <c r="B504" s="141" t="s">
        <v>26</v>
      </c>
      <c r="C504" s="137" t="s">
        <v>310</v>
      </c>
      <c r="D504" s="133" t="s">
        <v>40</v>
      </c>
      <c r="E504" s="134" t="s">
        <v>2137</v>
      </c>
      <c r="F504" s="421" t="s">
        <v>2116</v>
      </c>
      <c r="G504" s="135" t="str">
        <f>VLOOKUP(A504,Plano_V3!$A$26:$G$753,7,0)</f>
        <v>4. Validação EF</v>
      </c>
      <c r="H504" s="135" t="s">
        <v>1863</v>
      </c>
      <c r="I504" s="142" t="s">
        <v>655</v>
      </c>
      <c r="J504" s="152" t="str">
        <f>IF(VLOOKUP(A495,'Aux - pivots1'!$A:$E,3,0)=0, "",VLOOKUP(A495,'Aux - pivots1'!$A:$E,3,0))</f>
        <v/>
      </c>
      <c r="K504" s="152" t="str">
        <f>IF(VLOOKUP(A495,'Aux - pivots1'!$A:$E,4,0)=0, "",VLOOKUP(A495,'Aux - pivots1'!$A:$E,4,0))</f>
        <v/>
      </c>
      <c r="L504" s="152" t="str">
        <f>IF(VLOOKUP(A495,'Aux - pivots1'!$A:$E,5,0)=0, "",VLOOKUP(A495,'Aux - pivots1'!$A:$E,5,0))</f>
        <v/>
      </c>
      <c r="M504" s="205"/>
      <c r="N504" s="205"/>
      <c r="O504" s="337" t="s">
        <v>29</v>
      </c>
      <c r="Q504" s="268" t="s">
        <v>2375</v>
      </c>
    </row>
    <row r="505" spans="1:17" ht="16.2" customHeight="1">
      <c r="A505" s="29" t="str">
        <f t="shared" si="7"/>
        <v>modesg_out_sfics_taxon_europeianome_specific_eligible</v>
      </c>
      <c r="B505" s="141" t="s">
        <v>26</v>
      </c>
      <c r="C505" s="137" t="s">
        <v>310</v>
      </c>
      <c r="D505" s="133" t="s">
        <v>40</v>
      </c>
      <c r="E505" s="134" t="s">
        <v>2137</v>
      </c>
      <c r="F505" s="133" t="s">
        <v>206</v>
      </c>
      <c r="G505" s="135" t="str">
        <f>VLOOKUP(A505,Plano_V3!$A$26:$G$753,7,0)</f>
        <v>4. Validação EF</v>
      </c>
      <c r="H505" s="135" t="s">
        <v>1863</v>
      </c>
      <c r="I505" s="142" t="s">
        <v>655</v>
      </c>
      <c r="J505" s="152" t="str">
        <f>IF(VLOOKUP(A495,'Aux - pivots1'!$A:$E,3,0)=0, "",VLOOKUP(A495,'Aux - pivots1'!$A:$E,3,0))</f>
        <v/>
      </c>
      <c r="K505" s="152" t="str">
        <f>IF(VLOOKUP(A495,'Aux - pivots1'!$A:$E,4,0)=0, "",VLOOKUP(A495,'Aux - pivots1'!$A:$E,4,0))</f>
        <v/>
      </c>
      <c r="L505" s="152" t="str">
        <f>IF(VLOOKUP(A495,'Aux - pivots1'!$A:$E,5,0)=0, "",VLOOKUP(A495,'Aux - pivots1'!$A:$E,5,0))</f>
        <v/>
      </c>
      <c r="M505" s="205"/>
      <c r="N505" s="205"/>
      <c r="O505" s="337" t="s">
        <v>29</v>
      </c>
      <c r="Q505" s="268" t="s">
        <v>2375</v>
      </c>
    </row>
    <row r="506" spans="1:17" ht="16.2" customHeight="1">
      <c r="A506" s="29" t="str">
        <f t="shared" si="7"/>
        <v>modesg_out_sfics_taxon_europeianome_specific_sustainable</v>
      </c>
      <c r="B506" s="141" t="s">
        <v>26</v>
      </c>
      <c r="C506" s="137" t="s">
        <v>310</v>
      </c>
      <c r="D506" s="133" t="s">
        <v>40</v>
      </c>
      <c r="E506" s="134" t="s">
        <v>2137</v>
      </c>
      <c r="F506" s="133" t="s">
        <v>207</v>
      </c>
      <c r="G506" s="135" t="str">
        <f>VLOOKUP(A506,Plano_V3!$A$26:$G$753,7,0)</f>
        <v>4. Validação EF</v>
      </c>
      <c r="H506" s="135" t="s">
        <v>1863</v>
      </c>
      <c r="I506" s="142" t="s">
        <v>655</v>
      </c>
      <c r="J506" s="152" t="str">
        <f>IF(VLOOKUP(A496,'Aux - pivots1'!$A:$E,3,0)=0, "",VLOOKUP(A496,'Aux - pivots1'!$A:$E,3,0))</f>
        <v/>
      </c>
      <c r="K506" s="152" t="str">
        <f>IF(VLOOKUP(A496,'Aux - pivots1'!$A:$E,4,0)=0, "",VLOOKUP(A496,'Aux - pivots1'!$A:$E,4,0))</f>
        <v/>
      </c>
      <c r="L506" s="152" t="str">
        <f>IF(VLOOKUP(A496,'Aux - pivots1'!$A:$E,5,0)=0, "",VLOOKUP(A496,'Aux - pivots1'!$A:$E,5,0))</f>
        <v/>
      </c>
      <c r="M506" s="205"/>
      <c r="N506" s="205"/>
      <c r="O506" s="337" t="s">
        <v>29</v>
      </c>
      <c r="Q506" s="268" t="s">
        <v>2375</v>
      </c>
    </row>
    <row r="507" spans="1:17" ht="16.2" customHeight="1">
      <c r="A507" s="29" t="str">
        <f t="shared" si="7"/>
        <v>modesg_out_sfics_taxon_europeiaorigem</v>
      </c>
      <c r="B507" s="141" t="s">
        <v>26</v>
      </c>
      <c r="C507" s="137" t="s">
        <v>310</v>
      </c>
      <c r="D507" s="133" t="s">
        <v>40</v>
      </c>
      <c r="E507" s="134" t="s">
        <v>2137</v>
      </c>
      <c r="F507" s="133" t="s">
        <v>72</v>
      </c>
      <c r="G507" s="135" t="str">
        <f>VLOOKUP(A507,Plano_V3!$A$26:$G$753,7,0)</f>
        <v>1. Concluído</v>
      </c>
      <c r="H507" s="135" t="s">
        <v>612</v>
      </c>
      <c r="I507" s="142"/>
      <c r="J507" s="152" t="str">
        <f>IF(VLOOKUP(A497,'Aux - pivots1'!$A:$E,3,0)=0, "",VLOOKUP(A497,'Aux - pivots1'!$A:$E,3,0))</f>
        <v/>
      </c>
      <c r="K507" s="152" t="str">
        <f>IF(VLOOKUP(A497,'Aux - pivots1'!$A:$E,4,0)=0, "",VLOOKUP(A497,'Aux - pivots1'!$A:$E,4,0))</f>
        <v/>
      </c>
      <c r="L507" s="152" t="str">
        <f>IF(VLOOKUP(A497,'Aux - pivots1'!$A:$E,5,0)=0, "",VLOOKUP(A497,'Aux - pivots1'!$A:$E,5,0))</f>
        <v/>
      </c>
      <c r="M507" s="205"/>
      <c r="N507" s="205"/>
      <c r="O507" s="337" t="s">
        <v>29</v>
      </c>
    </row>
    <row r="508" spans="1:17" ht="16.2" customHeight="1">
      <c r="A508" s="29" t="str">
        <f t="shared" si="7"/>
        <v>modesg_out_sfics_taxon_europeiaref_date</v>
      </c>
      <c r="B508" s="141" t="s">
        <v>26</v>
      </c>
      <c r="C508" s="137" t="s">
        <v>310</v>
      </c>
      <c r="D508" s="133" t="s">
        <v>40</v>
      </c>
      <c r="E508" s="134" t="s">
        <v>2137</v>
      </c>
      <c r="F508" s="133" t="s">
        <v>208</v>
      </c>
      <c r="G508" s="135" t="str">
        <f>VLOOKUP(A508,Plano_V3!$A$26:$G$753,7,0)</f>
        <v>4. Validação EF</v>
      </c>
      <c r="H508" s="135" t="s">
        <v>1863</v>
      </c>
      <c r="I508" s="142" t="s">
        <v>655</v>
      </c>
      <c r="J508" s="152" t="str">
        <f>IF(VLOOKUP(A498,'Aux - pivots1'!$A:$E,3,0)=0, "",VLOOKUP(A498,'Aux - pivots1'!$A:$E,3,0))</f>
        <v/>
      </c>
      <c r="K508" s="152" t="str">
        <f>IF(VLOOKUP(A498,'Aux - pivots1'!$A:$E,4,0)=0, "",VLOOKUP(A498,'Aux - pivots1'!$A:$E,4,0))</f>
        <v/>
      </c>
      <c r="L508" s="152" t="str">
        <f>IF(VLOOKUP(A498,'Aux - pivots1'!$A:$E,5,0)=0, "",VLOOKUP(A498,'Aux - pivots1'!$A:$E,5,0))</f>
        <v/>
      </c>
      <c r="M508" s="205"/>
      <c r="N508" s="205"/>
      <c r="O508" s="337" t="s">
        <v>29</v>
      </c>
      <c r="Q508" s="268" t="s">
        <v>2375</v>
      </c>
    </row>
    <row r="509" spans="1:17" ht="16.2" customHeight="1">
      <c r="A509" s="29" t="str">
        <f t="shared" si="7"/>
        <v>modesg_out_sfics_taxon_europeiazdeposit</v>
      </c>
      <c r="B509" s="141" t="s">
        <v>26</v>
      </c>
      <c r="C509" s="137" t="s">
        <v>310</v>
      </c>
      <c r="D509" s="133" t="s">
        <v>40</v>
      </c>
      <c r="E509" s="134" t="s">
        <v>2137</v>
      </c>
      <c r="F509" s="133" t="s">
        <v>210</v>
      </c>
      <c r="G509" s="135" t="str">
        <f>VLOOKUP(A509,Plano_V3!$A$26:$G$753,7,0)</f>
        <v>4. Validação EF</v>
      </c>
      <c r="H509" s="135" t="s">
        <v>1863</v>
      </c>
      <c r="I509" s="142" t="s">
        <v>655</v>
      </c>
      <c r="J509" s="152" t="str">
        <f>IF(VLOOKUP(A499,'Aux - pivots1'!$A:$E,3,0)=0, "",VLOOKUP(A499,'Aux - pivots1'!$A:$E,3,0))</f>
        <v/>
      </c>
      <c r="K509" s="152" t="str">
        <f>IF(VLOOKUP(A499,'Aux - pivots1'!$A:$E,4,0)=0, "",VLOOKUP(A499,'Aux - pivots1'!$A:$E,4,0))</f>
        <v/>
      </c>
      <c r="L509" s="152" t="str">
        <f>IF(VLOOKUP(A499,'Aux - pivots1'!$A:$E,5,0)=0, "",VLOOKUP(A499,'Aux - pivots1'!$A:$E,5,0))</f>
        <v/>
      </c>
      <c r="M509" s="205"/>
      <c r="N509" s="205"/>
      <c r="O509" s="337" t="s">
        <v>29</v>
      </c>
      <c r="Q509" s="268" t="s">
        <v>2375</v>
      </c>
    </row>
    <row r="510" spans="1:17" ht="16.2" customHeight="1">
      <c r="A510" s="29" t="str">
        <f t="shared" si="7"/>
        <v>lt003_entitynace_esg</v>
      </c>
      <c r="B510" s="141" t="s">
        <v>26</v>
      </c>
      <c r="C510" s="137" t="s">
        <v>26</v>
      </c>
      <c r="D510" s="133" t="s">
        <v>40</v>
      </c>
      <c r="E510" s="136" t="s">
        <v>335</v>
      </c>
      <c r="F510" s="136" t="s">
        <v>336</v>
      </c>
      <c r="G510" s="135" t="str">
        <f>VLOOKUP(A510,Plano_V3!$A$26:$G$753,7,0)</f>
        <v>2.2 Em Re-especificação</v>
      </c>
      <c r="H510" s="135" t="s">
        <v>613</v>
      </c>
      <c r="I510" s="142"/>
      <c r="J510" s="152" t="str">
        <f>IF(VLOOKUP(A500,'Aux - pivots1'!$A:$E,3,0)=0, "",VLOOKUP(A500,'Aux - pivots1'!$A:$E,3,0))</f>
        <v/>
      </c>
      <c r="K510" s="152" t="str">
        <f>IF(VLOOKUP(A500,'Aux - pivots1'!$A:$E,4,0)=0, "",VLOOKUP(A500,'Aux - pivots1'!$A:$E,4,0))</f>
        <v/>
      </c>
      <c r="L510" s="152" t="str">
        <f>IF(VLOOKUP(A500,'Aux - pivots1'!$A:$E,5,0)=0, "",VLOOKUP(A500,'Aux - pivots1'!$A:$E,5,0))</f>
        <v/>
      </c>
      <c r="M510" s="205"/>
      <c r="N510" s="205"/>
      <c r="O510" s="337" t="s">
        <v>26</v>
      </c>
      <c r="Q510" s="268" t="s">
        <v>1883</v>
      </c>
    </row>
    <row r="511" spans="1:17" ht="16.2"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52" t="str">
        <f>IF(VLOOKUP(A501,'Aux - pivots1'!$A:$E,3,0)=0, "",VLOOKUP(A501,'Aux - pivots1'!$A:$E,3,0))</f>
        <v/>
      </c>
      <c r="K511" s="152" t="str">
        <f>IF(VLOOKUP(A501,'Aux - pivots1'!$A:$E,4,0)=0, "",VLOOKUP(A501,'Aux - pivots1'!$A:$E,4,0))</f>
        <v/>
      </c>
      <c r="L511" s="152" t="str">
        <f>IF(VLOOKUP(A501,'Aux - pivots1'!$A:$E,5,0)=0, "",VLOOKUP(A501,'Aux - pivots1'!$A:$E,5,0))</f>
        <v/>
      </c>
      <c r="M511" s="205"/>
      <c r="N511" s="205"/>
      <c r="O511" s="337" t="s">
        <v>26</v>
      </c>
    </row>
    <row r="512" spans="1:17" ht="16.2"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52" t="str">
        <f>IF(VLOOKUP(A502,'Aux - pivots1'!$A:$E,3,0)=0, "",VLOOKUP(A502,'Aux - pivots1'!$A:$E,3,0))</f>
        <v/>
      </c>
      <c r="K512" s="152" t="str">
        <f>IF(VLOOKUP(A502,'Aux - pivots1'!$A:$E,4,0)=0, "",VLOOKUP(A502,'Aux - pivots1'!$A:$E,4,0))</f>
        <v/>
      </c>
      <c r="L512" s="152" t="str">
        <f>IF(VLOOKUP(A502,'Aux - pivots1'!$A:$E,5,0)=0, "",VLOOKUP(A502,'Aux - pivots1'!$A:$E,5,0))</f>
        <v/>
      </c>
      <c r="M512" s="205"/>
      <c r="N512" s="205"/>
      <c r="O512" s="337" t="s">
        <v>26</v>
      </c>
    </row>
    <row r="513" spans="1:15" ht="16.2"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52" t="str">
        <f>IF(VLOOKUP(A503,'Aux - pivots1'!$A:$E,3,0)=0, "",VLOOKUP(A503,'Aux - pivots1'!$A:$E,3,0))</f>
        <v/>
      </c>
      <c r="K513" s="152" t="str">
        <f>IF(VLOOKUP(A503,'Aux - pivots1'!$A:$E,4,0)=0, "",VLOOKUP(A503,'Aux - pivots1'!$A:$E,4,0))</f>
        <v/>
      </c>
      <c r="L513" s="152" t="str">
        <f>IF(VLOOKUP(A503,'Aux - pivots1'!$A:$E,5,0)=0, "",VLOOKUP(A503,'Aux - pivots1'!$A:$E,5,0))</f>
        <v/>
      </c>
      <c r="M513" s="205"/>
      <c r="N513" s="205"/>
      <c r="O513" s="337" t="s">
        <v>26</v>
      </c>
    </row>
    <row r="514" spans="1:15" ht="16.2"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52" t="str">
        <f>IF(VLOOKUP(A505,'Aux - pivots1'!$A:$E,3,0)=0, "",VLOOKUP(A505,'Aux - pivots1'!$A:$E,3,0))</f>
        <v/>
      </c>
      <c r="K514" s="152" t="str">
        <f>IF(VLOOKUP(A505,'Aux - pivots1'!$A:$E,4,0)=0, "",VLOOKUP(A505,'Aux - pivots1'!$A:$E,4,0))</f>
        <v/>
      </c>
      <c r="L514" s="152" t="str">
        <f>IF(VLOOKUP(A505,'Aux - pivots1'!$A:$E,5,0)=0, "",VLOOKUP(A505,'Aux - pivots1'!$A:$E,5,0))</f>
        <v/>
      </c>
      <c r="M514" s="205"/>
      <c r="N514" s="205"/>
      <c r="O514" s="337" t="s">
        <v>26</v>
      </c>
    </row>
    <row r="515" spans="1:15" ht="16.2"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52" t="str">
        <f>IF(VLOOKUP(A506,'Aux - pivots1'!$A:$E,3,0)=0, "",VLOOKUP(A506,'Aux - pivots1'!$A:$E,3,0))</f>
        <v/>
      </c>
      <c r="K515" s="152" t="str">
        <f>IF(VLOOKUP(A506,'Aux - pivots1'!$A:$E,4,0)=0, "",VLOOKUP(A506,'Aux - pivots1'!$A:$E,4,0))</f>
        <v/>
      </c>
      <c r="L515" s="152" t="str">
        <f>IF(VLOOKUP(A506,'Aux - pivots1'!$A:$E,5,0)=0, "",VLOOKUP(A506,'Aux - pivots1'!$A:$E,5,0))</f>
        <v/>
      </c>
      <c r="M515" s="205"/>
      <c r="N515" s="205"/>
      <c r="O515" s="337" t="s">
        <v>26</v>
      </c>
    </row>
    <row r="516" spans="1:15" ht="16.2"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52" t="str">
        <f>IF(VLOOKUP(A507,'Aux - pivots1'!$A:$E,3,0)=0, "",VLOOKUP(A507,'Aux - pivots1'!$A:$E,3,0))</f>
        <v/>
      </c>
      <c r="K516" s="152" t="str">
        <f>IF(VLOOKUP(A507,'Aux - pivots1'!$A:$E,4,0)=0, "",VLOOKUP(A507,'Aux - pivots1'!$A:$E,4,0))</f>
        <v/>
      </c>
      <c r="L516" s="152" t="str">
        <f>IF(VLOOKUP(A507,'Aux - pivots1'!$A:$E,5,0)=0, "",VLOOKUP(A507,'Aux - pivots1'!$A:$E,5,0))</f>
        <v/>
      </c>
      <c r="M516" s="205"/>
      <c r="N516" s="205"/>
      <c r="O516" s="337" t="s">
        <v>26</v>
      </c>
    </row>
    <row r="517" spans="1:15" ht="16.2"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52" t="str">
        <f>IF(VLOOKUP(A508,'Aux - pivots1'!$A:$E,3,0)=0, "",VLOOKUP(A508,'Aux - pivots1'!$A:$E,3,0))</f>
        <v/>
      </c>
      <c r="K517" s="152" t="str">
        <f>IF(VLOOKUP(A508,'Aux - pivots1'!$A:$E,4,0)=0, "",VLOOKUP(A508,'Aux - pivots1'!$A:$E,4,0))</f>
        <v/>
      </c>
      <c r="L517" s="152" t="str">
        <f>IF(VLOOKUP(A508,'Aux - pivots1'!$A:$E,5,0)=0, "",VLOOKUP(A508,'Aux - pivots1'!$A:$E,5,0))</f>
        <v/>
      </c>
      <c r="M517" s="205"/>
      <c r="N517" s="205"/>
      <c r="O517" s="337" t="s">
        <v>26</v>
      </c>
    </row>
    <row r="518" spans="1:15" ht="16.2"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52" t="str">
        <f>IF(VLOOKUP(A509,'Aux - pivots1'!$A:$E,3,0)=0, "",VLOOKUP(A509,'Aux - pivots1'!$A:$E,3,0))</f>
        <v/>
      </c>
      <c r="K518" s="152" t="str">
        <f>IF(VLOOKUP(A509,'Aux - pivots1'!$A:$E,4,0)=0, "",VLOOKUP(A509,'Aux - pivots1'!$A:$E,4,0))</f>
        <v/>
      </c>
      <c r="L518" s="152" t="str">
        <f>IF(VLOOKUP(A509,'Aux - pivots1'!$A:$E,5,0)=0, "",VLOOKUP(A509,'Aux - pivots1'!$A:$E,5,0))</f>
        <v/>
      </c>
      <c r="M518" s="205"/>
      <c r="N518" s="205"/>
      <c r="O518" s="337" t="s">
        <v>26</v>
      </c>
    </row>
    <row r="519" spans="1:15" ht="16.2"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52" t="str">
        <f>IF(VLOOKUP(A510,'Aux - pivots1'!$A:$E,3,0)=0, "",VLOOKUP(A510,'Aux - pivots1'!$A:$E,3,0))</f>
        <v/>
      </c>
      <c r="K519" s="152" t="str">
        <f>IF(VLOOKUP(A510,'Aux - pivots1'!$A:$E,4,0)=0, "",VLOOKUP(A510,'Aux - pivots1'!$A:$E,4,0))</f>
        <v/>
      </c>
      <c r="L519" s="152" t="str">
        <f>IF(VLOOKUP(A510,'Aux - pivots1'!$A:$E,5,0)=0, "",VLOOKUP(A510,'Aux - pivots1'!$A:$E,5,0))</f>
        <v/>
      </c>
      <c r="M519" s="205"/>
      <c r="N519" s="205"/>
      <c r="O519" s="337" t="s">
        <v>26</v>
      </c>
    </row>
    <row r="520" spans="1:15" ht="16.2"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52" t="str">
        <f>IF(VLOOKUP(A511,'Aux - pivots1'!$A:$E,3,0)=0, "",VLOOKUP(A511,'Aux - pivots1'!$A:$E,3,0))</f>
        <v/>
      </c>
      <c r="K520" s="152" t="str">
        <f>IF(VLOOKUP(A511,'Aux - pivots1'!$A:$E,4,0)=0, "",VLOOKUP(A511,'Aux - pivots1'!$A:$E,4,0))</f>
        <v/>
      </c>
      <c r="L520" s="152" t="str">
        <f>IF(VLOOKUP(A511,'Aux - pivots1'!$A:$E,5,0)=0, "",VLOOKUP(A511,'Aux - pivots1'!$A:$E,5,0))</f>
        <v/>
      </c>
      <c r="M520" s="205"/>
      <c r="N520" s="205"/>
      <c r="O520" s="337" t="s">
        <v>26</v>
      </c>
    </row>
    <row r="521" spans="1:15" ht="16.2"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52" t="str">
        <f>IF(VLOOKUP(A512,'Aux - pivots1'!$A:$E,3,0)=0, "",VLOOKUP(A512,'Aux - pivots1'!$A:$E,3,0))</f>
        <v/>
      </c>
      <c r="K521" s="152" t="str">
        <f>IF(VLOOKUP(A512,'Aux - pivots1'!$A:$E,4,0)=0, "",VLOOKUP(A512,'Aux - pivots1'!$A:$E,4,0))</f>
        <v/>
      </c>
      <c r="L521" s="152" t="str">
        <f>IF(VLOOKUP(A512,'Aux - pivots1'!$A:$E,5,0)=0, "",VLOOKUP(A512,'Aux - pivots1'!$A:$E,5,0))</f>
        <v/>
      </c>
      <c r="M521" s="205"/>
      <c r="N521" s="205"/>
      <c r="O521" s="337" t="s">
        <v>26</v>
      </c>
    </row>
    <row r="522" spans="1:15" ht="16.2"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52" t="str">
        <f>IF(VLOOKUP(A513,'Aux - pivots1'!$A:$E,3,0)=0, "",VLOOKUP(A513,'Aux - pivots1'!$A:$E,3,0))</f>
        <v/>
      </c>
      <c r="K522" s="152" t="str">
        <f>IF(VLOOKUP(A513,'Aux - pivots1'!$A:$E,4,0)=0, "",VLOOKUP(A513,'Aux - pivots1'!$A:$E,4,0))</f>
        <v/>
      </c>
      <c r="L522" s="152" t="str">
        <f>IF(VLOOKUP(A513,'Aux - pivots1'!$A:$E,5,0)=0, "",VLOOKUP(A513,'Aux - pivots1'!$A:$E,5,0))</f>
        <v/>
      </c>
      <c r="M522" s="205"/>
      <c r="N522" s="205"/>
      <c r="O522" s="337" t="s">
        <v>26</v>
      </c>
    </row>
    <row r="523" spans="1:15" ht="16.2"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52" t="str">
        <f>IF(VLOOKUP(A514,'Aux - pivots1'!$A:$E,3,0)=0, "",VLOOKUP(A514,'Aux - pivots1'!$A:$E,3,0))</f>
        <v/>
      </c>
      <c r="K523" s="152" t="str">
        <f>IF(VLOOKUP(A514,'Aux - pivots1'!$A:$E,4,0)=0, "",VLOOKUP(A514,'Aux - pivots1'!$A:$E,4,0))</f>
        <v/>
      </c>
      <c r="L523" s="152" t="str">
        <f>IF(VLOOKUP(A514,'Aux - pivots1'!$A:$E,5,0)=0, "",VLOOKUP(A514,'Aux - pivots1'!$A:$E,5,0))</f>
        <v/>
      </c>
      <c r="M523" s="205"/>
      <c r="N523" s="205"/>
      <c r="O523" s="337" t="s">
        <v>26</v>
      </c>
    </row>
    <row r="524" spans="1:15" ht="16.2"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52" t="str">
        <f>IF(VLOOKUP(A515,'Aux - pivots1'!$A:$E,3,0)=0, "",VLOOKUP(A515,'Aux - pivots1'!$A:$E,3,0))</f>
        <v/>
      </c>
      <c r="K524" s="152" t="str">
        <f>IF(VLOOKUP(A515,'Aux - pivots1'!$A:$E,4,0)=0, "",VLOOKUP(A515,'Aux - pivots1'!$A:$E,4,0))</f>
        <v/>
      </c>
      <c r="L524" s="152" t="str">
        <f>IF(VLOOKUP(A515,'Aux - pivots1'!$A:$E,5,0)=0, "",VLOOKUP(A515,'Aux - pivots1'!$A:$E,5,0))</f>
        <v/>
      </c>
      <c r="M524" s="205"/>
      <c r="N524" s="205"/>
      <c r="O524" s="337" t="s">
        <v>26</v>
      </c>
    </row>
    <row r="525" spans="1:15" ht="16.2"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52" t="str">
        <f>IF(VLOOKUP(A516,'Aux - pivots1'!$A:$E,3,0)=0, "",VLOOKUP(A516,'Aux - pivots1'!$A:$E,3,0))</f>
        <v/>
      </c>
      <c r="K525" s="152" t="str">
        <f>IF(VLOOKUP(A516,'Aux - pivots1'!$A:$E,4,0)=0, "",VLOOKUP(A516,'Aux - pivots1'!$A:$E,4,0))</f>
        <v/>
      </c>
      <c r="L525" s="152" t="str">
        <f>IF(VLOOKUP(A516,'Aux - pivots1'!$A:$E,5,0)=0, "",VLOOKUP(A516,'Aux - pivots1'!$A:$E,5,0))</f>
        <v/>
      </c>
      <c r="M525" s="205"/>
      <c r="N525" s="205"/>
      <c r="O525" s="337" t="s">
        <v>26</v>
      </c>
    </row>
    <row r="526" spans="1:15" ht="16.2"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613</v>
      </c>
      <c r="I526" s="142"/>
      <c r="J526" s="152" t="str">
        <f>IF(VLOOKUP(A517,'Aux - pivots1'!$A:$E,3,0)=0, "",VLOOKUP(A517,'Aux - pivots1'!$A:$E,3,0))</f>
        <v/>
      </c>
      <c r="K526" s="152" t="str">
        <f>IF(VLOOKUP(A517,'Aux - pivots1'!$A:$E,4,0)=0, "",VLOOKUP(A517,'Aux - pivots1'!$A:$E,4,0))</f>
        <v/>
      </c>
      <c r="L526" s="152" t="str">
        <f>IF(VLOOKUP(A517,'Aux - pivots1'!$A:$E,5,0)=0, "",VLOOKUP(A517,'Aux - pivots1'!$A:$E,5,0))</f>
        <v/>
      </c>
      <c r="M526" s="205"/>
      <c r="N526" s="205"/>
      <c r="O526" s="337" t="s">
        <v>26</v>
      </c>
    </row>
    <row r="527" spans="1:15" ht="16.2"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613</v>
      </c>
      <c r="I527" s="142"/>
      <c r="J527" s="152" t="str">
        <f>IF(VLOOKUP(A518,'Aux - pivots1'!$A:$E,3,0)=0, "",VLOOKUP(A518,'Aux - pivots1'!$A:$E,3,0))</f>
        <v/>
      </c>
      <c r="K527" s="152" t="str">
        <f>IF(VLOOKUP(A518,'Aux - pivots1'!$A:$E,4,0)=0, "",VLOOKUP(A518,'Aux - pivots1'!$A:$E,4,0))</f>
        <v/>
      </c>
      <c r="L527" s="152" t="str">
        <f>IF(VLOOKUP(A518,'Aux - pivots1'!$A:$E,5,0)=0, "",VLOOKUP(A518,'Aux - pivots1'!$A:$E,5,0))</f>
        <v/>
      </c>
      <c r="M527" s="205"/>
      <c r="N527" s="205"/>
      <c r="O527" s="337" t="s">
        <v>26</v>
      </c>
    </row>
    <row r="528" spans="1:15" ht="16.2"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613</v>
      </c>
      <c r="I528" s="142"/>
      <c r="J528" s="152" t="str">
        <f>IF(VLOOKUP(A519,'Aux - pivots1'!$A:$E,3,0)=0, "",VLOOKUP(A519,'Aux - pivots1'!$A:$E,3,0))</f>
        <v/>
      </c>
      <c r="K528" s="152" t="str">
        <f>IF(VLOOKUP(A519,'Aux - pivots1'!$A:$E,4,0)=0, "",VLOOKUP(A519,'Aux - pivots1'!$A:$E,4,0))</f>
        <v/>
      </c>
      <c r="L528" s="152" t="str">
        <f>IF(VLOOKUP(A519,'Aux - pivots1'!$A:$E,5,0)=0, "",VLOOKUP(A519,'Aux - pivots1'!$A:$E,5,0))</f>
        <v/>
      </c>
      <c r="M528" s="205"/>
      <c r="N528" s="205"/>
      <c r="O528" s="337" t="s">
        <v>26</v>
      </c>
    </row>
    <row r="529" spans="1:17" ht="16.2"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52" t="str">
        <f>IF(VLOOKUP(A520,'Aux - pivots1'!$A:$E,3,0)=0, "",VLOOKUP(A520,'Aux - pivots1'!$A:$E,3,0))</f>
        <v/>
      </c>
      <c r="K529" s="152" t="str">
        <f>IF(VLOOKUP(A520,'Aux - pivots1'!$A:$E,4,0)=0, "",VLOOKUP(A520,'Aux - pivots1'!$A:$E,4,0))</f>
        <v/>
      </c>
      <c r="L529" s="152" t="str">
        <f>IF(VLOOKUP(A520,'Aux - pivots1'!$A:$E,5,0)=0, "",VLOOKUP(A520,'Aux - pivots1'!$A:$E,5,0))</f>
        <v/>
      </c>
      <c r="M529" s="205"/>
      <c r="N529" s="205"/>
      <c r="O529" s="337" t="s">
        <v>26</v>
      </c>
    </row>
    <row r="530" spans="1:17" ht="16.2"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52" t="str">
        <f>IF(VLOOKUP(A521,'Aux - pivots1'!$A:$E,3,0)=0, "",VLOOKUP(A521,'Aux - pivots1'!$A:$E,3,0))</f>
        <v/>
      </c>
      <c r="K530" s="152" t="str">
        <f>IF(VLOOKUP(A521,'Aux - pivots1'!$A:$E,4,0)=0, "",VLOOKUP(A521,'Aux - pivots1'!$A:$E,4,0))</f>
        <v/>
      </c>
      <c r="L530" s="152" t="str">
        <f>IF(VLOOKUP(A521,'Aux - pivots1'!$A:$E,5,0)=0, "",VLOOKUP(A521,'Aux - pivots1'!$A:$E,5,0))</f>
        <v/>
      </c>
      <c r="M530" s="205"/>
      <c r="N530" s="205"/>
      <c r="O530" s="337" t="s">
        <v>26</v>
      </c>
      <c r="Q530" s="268" t="s">
        <v>1884</v>
      </c>
    </row>
    <row r="531" spans="1:17" ht="16.2"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52" t="str">
        <f>IF(VLOOKUP(A522,'Aux - pivots1'!$A:$E,3,0)=0, "",VLOOKUP(A522,'Aux - pivots1'!$A:$E,3,0))</f>
        <v/>
      </c>
      <c r="K531" s="152" t="str">
        <f>IF(VLOOKUP(A522,'Aux - pivots1'!$A:$E,4,0)=0, "",VLOOKUP(A522,'Aux - pivots1'!$A:$E,4,0))</f>
        <v/>
      </c>
      <c r="L531" s="152" t="str">
        <f>IF(VLOOKUP(A522,'Aux - pivots1'!$A:$E,5,0)=0, "",VLOOKUP(A522,'Aux - pivots1'!$A:$E,5,0))</f>
        <v/>
      </c>
      <c r="M531" s="205"/>
      <c r="N531" s="205"/>
      <c r="O531" s="337" t="s">
        <v>26</v>
      </c>
      <c r="Q531" s="268" t="s">
        <v>1884</v>
      </c>
    </row>
    <row r="532" spans="1:17" ht="16.2"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52" t="str">
        <f>IF(VLOOKUP(A523,'Aux - pivots1'!$A:$E,3,0)=0, "",VLOOKUP(A523,'Aux - pivots1'!$A:$E,3,0))</f>
        <v/>
      </c>
      <c r="K532" s="152" t="str">
        <f>IF(VLOOKUP(A523,'Aux - pivots1'!$A:$E,4,0)=0, "",VLOOKUP(A523,'Aux - pivots1'!$A:$E,4,0))</f>
        <v/>
      </c>
      <c r="L532" s="152" t="str">
        <f>IF(VLOOKUP(A523,'Aux - pivots1'!$A:$E,5,0)=0, "",VLOOKUP(A523,'Aux - pivots1'!$A:$E,5,0))</f>
        <v/>
      </c>
      <c r="M532" s="205"/>
      <c r="N532" s="205"/>
      <c r="O532" s="337" t="s">
        <v>26</v>
      </c>
    </row>
    <row r="533" spans="1:17" ht="16.2"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c r="J533" s="152" t="str">
        <f>IF(VLOOKUP(A524,'Aux - pivots1'!$A:$E,3,0)=0, "",VLOOKUP(A524,'Aux - pivots1'!$A:$E,3,0))</f>
        <v/>
      </c>
      <c r="K533" s="152" t="str">
        <f>IF(VLOOKUP(A524,'Aux - pivots1'!$A:$E,4,0)=0, "",VLOOKUP(A524,'Aux - pivots1'!$A:$E,4,0))</f>
        <v/>
      </c>
      <c r="L533" s="152" t="str">
        <f>IF(VLOOKUP(A524,'Aux - pivots1'!$A:$E,5,0)=0, "",VLOOKUP(A524,'Aux - pivots1'!$A:$E,5,0))</f>
        <v/>
      </c>
      <c r="M533" s="205"/>
      <c r="N533" s="205"/>
      <c r="O533" s="337" t="s">
        <v>26</v>
      </c>
      <c r="Q533" s="268" t="s">
        <v>2377</v>
      </c>
    </row>
    <row r="534" spans="1:17" ht="16.2"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52" t="str">
        <f>IF(VLOOKUP(A525,'Aux - pivots1'!$A:$E,3,0)=0, "",VLOOKUP(A525,'Aux - pivots1'!$A:$E,3,0))</f>
        <v/>
      </c>
      <c r="K534" s="152" t="str">
        <f>IF(VLOOKUP(A525,'Aux - pivots1'!$A:$E,4,0)=0, "",VLOOKUP(A525,'Aux - pivots1'!$A:$E,4,0))</f>
        <v/>
      </c>
      <c r="L534" s="152" t="str">
        <f>IF(VLOOKUP(A525,'Aux - pivots1'!$A:$E,5,0)=0, "",VLOOKUP(A525,'Aux - pivots1'!$A:$E,5,0))</f>
        <v/>
      </c>
      <c r="M534" s="205">
        <v>45593</v>
      </c>
      <c r="N534" s="205"/>
      <c r="O534" s="337" t="s">
        <v>26</v>
      </c>
    </row>
    <row r="535" spans="1:17" ht="16.2"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52" t="str">
        <f>IF(VLOOKUP(A526,'Aux - pivots1'!$A:$E,3,0)=0, "",VLOOKUP(A526,'Aux - pivots1'!$A:$E,3,0))</f>
        <v/>
      </c>
      <c r="K535" s="152" t="str">
        <f>IF(VLOOKUP(A526,'Aux - pivots1'!$A:$E,4,0)=0, "",VLOOKUP(A526,'Aux - pivots1'!$A:$E,4,0))</f>
        <v/>
      </c>
      <c r="L535" s="152" t="str">
        <f>IF(VLOOKUP(A526,'Aux - pivots1'!$A:$E,5,0)=0, "",VLOOKUP(A526,'Aux - pivots1'!$A:$E,5,0))</f>
        <v/>
      </c>
      <c r="M535" s="205">
        <v>45588</v>
      </c>
      <c r="N535" s="205"/>
      <c r="O535" s="337" t="s">
        <v>26</v>
      </c>
    </row>
    <row r="536" spans="1:17" ht="16.2"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52" t="str">
        <f>IF(VLOOKUP(A527,'Aux - pivots1'!$A:$E,3,0)=0, "",VLOOKUP(A527,'Aux - pivots1'!$A:$E,3,0))</f>
        <v/>
      </c>
      <c r="K536" s="152" t="str">
        <f>IF(VLOOKUP(A527,'Aux - pivots1'!$A:$E,4,0)=0, "",VLOOKUP(A527,'Aux - pivots1'!$A:$E,4,0))</f>
        <v/>
      </c>
      <c r="L536" s="152" t="str">
        <f>IF(VLOOKUP(A527,'Aux - pivots1'!$A:$E,5,0)=0, "",VLOOKUP(A527,'Aux - pivots1'!$A:$E,5,0))</f>
        <v/>
      </c>
      <c r="M536" s="205">
        <v>45593</v>
      </c>
      <c r="N536" s="205"/>
      <c r="O536" s="337" t="s">
        <v>26</v>
      </c>
    </row>
    <row r="537" spans="1:17" ht="16.2"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52" t="str">
        <f>IF(VLOOKUP(A528,'Aux - pivots1'!$A:$E,3,0)=0, "",VLOOKUP(A528,'Aux - pivots1'!$A:$E,3,0))</f>
        <v/>
      </c>
      <c r="K537" s="152" t="str">
        <f>IF(VLOOKUP(A528,'Aux - pivots1'!$A:$E,4,0)=0, "",VLOOKUP(A528,'Aux - pivots1'!$A:$E,4,0))</f>
        <v/>
      </c>
      <c r="L537" s="152" t="str">
        <f>IF(VLOOKUP(A528,'Aux - pivots1'!$A:$E,5,0)=0, "",VLOOKUP(A528,'Aux - pivots1'!$A:$E,5,0))</f>
        <v/>
      </c>
      <c r="M537" s="205">
        <v>45593</v>
      </c>
      <c r="N537" s="205"/>
      <c r="O537" s="337" t="s">
        <v>26</v>
      </c>
    </row>
    <row r="538" spans="1:17" ht="16.2"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52" t="str">
        <f>IF(VLOOKUP(A529,'Aux - pivots1'!$A:$E,3,0)=0, "",VLOOKUP(A529,'Aux - pivots1'!$A:$E,3,0))</f>
        <v/>
      </c>
      <c r="K538" s="152" t="str">
        <f>IF(VLOOKUP(A529,'Aux - pivots1'!$A:$E,4,0)=0, "",VLOOKUP(A529,'Aux - pivots1'!$A:$E,4,0))</f>
        <v/>
      </c>
      <c r="L538" s="152" t="str">
        <f>IF(VLOOKUP(A529,'Aux - pivots1'!$A:$E,5,0)=0, "",VLOOKUP(A529,'Aux - pivots1'!$A:$E,5,0))</f>
        <v/>
      </c>
      <c r="M538" s="205">
        <v>45588</v>
      </c>
      <c r="N538" s="205"/>
      <c r="O538" s="337" t="s">
        <v>26</v>
      </c>
    </row>
    <row r="539" spans="1:17" ht="16.2"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613</v>
      </c>
      <c r="I539" s="142"/>
      <c r="J539" s="152" t="str">
        <f>IF(VLOOKUP(A530,'Aux - pivots1'!$A:$E,3,0)=0, "",VLOOKUP(A530,'Aux - pivots1'!$A:$E,3,0))</f>
        <v/>
      </c>
      <c r="K539" s="152" t="str">
        <f>IF(VLOOKUP(A530,'Aux - pivots1'!$A:$E,4,0)=0, "",VLOOKUP(A530,'Aux - pivots1'!$A:$E,4,0))</f>
        <v/>
      </c>
      <c r="L539" s="152" t="str">
        <f>IF(VLOOKUP(A530,'Aux - pivots1'!$A:$E,5,0)=0, "",VLOOKUP(A530,'Aux - pivots1'!$A:$E,5,0))</f>
        <v/>
      </c>
      <c r="M539" s="205">
        <v>45588</v>
      </c>
      <c r="N539" s="205"/>
      <c r="O539" s="337" t="s">
        <v>26</v>
      </c>
    </row>
    <row r="540" spans="1:17" ht="16.2"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613</v>
      </c>
      <c r="I540" s="142"/>
      <c r="J540" s="152" t="str">
        <f>IF(VLOOKUP(A531,'Aux - pivots1'!$A:$E,3,0)=0, "",VLOOKUP(A531,'Aux - pivots1'!$A:$E,3,0))</f>
        <v/>
      </c>
      <c r="K540" s="152" t="str">
        <f>IF(VLOOKUP(A531,'Aux - pivots1'!$A:$E,4,0)=0, "",VLOOKUP(A531,'Aux - pivots1'!$A:$E,4,0))</f>
        <v/>
      </c>
      <c r="L540" s="152" t="str">
        <f>IF(VLOOKUP(A531,'Aux - pivots1'!$A:$E,5,0)=0, "",VLOOKUP(A531,'Aux - pivots1'!$A:$E,5,0))</f>
        <v/>
      </c>
      <c r="M540" s="205">
        <v>45588</v>
      </c>
      <c r="N540" s="205"/>
      <c r="O540" s="337" t="s">
        <v>26</v>
      </c>
    </row>
    <row r="541" spans="1:17" ht="16.2"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613</v>
      </c>
      <c r="I541" s="142"/>
      <c r="J541" s="152" t="str">
        <f>IF(VLOOKUP(A532,'Aux - pivots1'!$A:$E,3,0)=0, "",VLOOKUP(A532,'Aux - pivots1'!$A:$E,3,0))</f>
        <v/>
      </c>
      <c r="K541" s="152" t="str">
        <f>IF(VLOOKUP(A532,'Aux - pivots1'!$A:$E,4,0)=0, "",VLOOKUP(A532,'Aux - pivots1'!$A:$E,4,0))</f>
        <v/>
      </c>
      <c r="L541" s="152" t="str">
        <f>IF(VLOOKUP(A532,'Aux - pivots1'!$A:$E,5,0)=0, "",VLOOKUP(A532,'Aux - pivots1'!$A:$E,5,0))</f>
        <v/>
      </c>
      <c r="M541" s="205">
        <v>45588</v>
      </c>
      <c r="N541" s="205"/>
      <c r="O541" s="337" t="s">
        <v>26</v>
      </c>
    </row>
    <row r="542" spans="1:17" ht="16.2"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52" t="str">
        <f>IF(VLOOKUP(A533,'Aux - pivots1'!$A:$E,3,0)=0, "",VLOOKUP(A533,'Aux - pivots1'!$A:$E,3,0))</f>
        <v/>
      </c>
      <c r="K542" s="152" t="str">
        <f>IF(VLOOKUP(A533,'Aux - pivots1'!$A:$E,4,0)=0, "",VLOOKUP(A533,'Aux - pivots1'!$A:$E,4,0))</f>
        <v/>
      </c>
      <c r="L542" s="152" t="str">
        <f>IF(VLOOKUP(A533,'Aux - pivots1'!$A:$E,5,0)=0, "",VLOOKUP(A533,'Aux - pivots1'!$A:$E,5,0))</f>
        <v/>
      </c>
      <c r="M542" s="205"/>
      <c r="N542" s="205"/>
      <c r="O542" s="337" t="s">
        <v>26</v>
      </c>
    </row>
    <row r="543" spans="1:17" ht="16.2"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52" t="str">
        <f>IF(VLOOKUP(A534,'Aux - pivots1'!$A:$E,3,0)=0, "",VLOOKUP(A534,'Aux - pivots1'!$A:$E,3,0))</f>
        <v/>
      </c>
      <c r="K543" s="152" t="str">
        <f>IF(VLOOKUP(A534,'Aux - pivots1'!$A:$E,4,0)=0, "",VLOOKUP(A534,'Aux - pivots1'!$A:$E,4,0))</f>
        <v/>
      </c>
      <c r="L543" s="152" t="str">
        <f>IF(VLOOKUP(A534,'Aux - pivots1'!$A:$E,5,0)=0, "",VLOOKUP(A534,'Aux - pivots1'!$A:$E,5,0))</f>
        <v/>
      </c>
      <c r="M543" s="205"/>
      <c r="N543" s="205"/>
      <c r="O543" s="337" t="s">
        <v>26</v>
      </c>
    </row>
    <row r="544" spans="1:17" ht="16.2"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52" t="str">
        <f>IF(VLOOKUP(A535,'Aux - pivots1'!$A:$E,3,0)=0, "",VLOOKUP(A535,'Aux - pivots1'!$A:$E,3,0))</f>
        <v/>
      </c>
      <c r="K544" s="152" t="str">
        <f>IF(VLOOKUP(A535,'Aux - pivots1'!$A:$E,4,0)=0, "",VLOOKUP(A535,'Aux - pivots1'!$A:$E,4,0))</f>
        <v/>
      </c>
      <c r="L544" s="152" t="str">
        <f>IF(VLOOKUP(A535,'Aux - pivots1'!$A:$E,5,0)=0, "",VLOOKUP(A535,'Aux - pivots1'!$A:$E,5,0))</f>
        <v/>
      </c>
      <c r="M544" s="205"/>
      <c r="N544" s="205"/>
      <c r="O544" s="337" t="s">
        <v>26</v>
      </c>
    </row>
    <row r="545" spans="1:17" ht="16.2"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52" t="str">
        <f>IF(VLOOKUP(A536,'Aux - pivots1'!$A:$E,3,0)=0, "",VLOOKUP(A536,'Aux - pivots1'!$A:$E,3,0))</f>
        <v/>
      </c>
      <c r="K545" s="152" t="str">
        <f>IF(VLOOKUP(A536,'Aux - pivots1'!$A:$E,4,0)=0, "",VLOOKUP(A536,'Aux - pivots1'!$A:$E,4,0))</f>
        <v/>
      </c>
      <c r="L545" s="152" t="str">
        <f>IF(VLOOKUP(A536,'Aux - pivots1'!$A:$E,5,0)=0, "",VLOOKUP(A536,'Aux - pivots1'!$A:$E,5,0))</f>
        <v/>
      </c>
      <c r="M545" s="205"/>
      <c r="N545" s="205"/>
      <c r="O545" s="337" t="s">
        <v>26</v>
      </c>
    </row>
    <row r="546" spans="1:17" ht="16.2" customHeight="1">
      <c r="A546" s="29" t="str">
        <f t="shared" si="8"/>
        <v>lt004_protectionemssns_scp1_prtctn</v>
      </c>
      <c r="B546" s="141" t="s">
        <v>26</v>
      </c>
      <c r="C546" s="137" t="s">
        <v>26</v>
      </c>
      <c r="D546" s="133" t="s">
        <v>40</v>
      </c>
      <c r="E546" s="136" t="s">
        <v>368</v>
      </c>
      <c r="F546" s="312" t="s">
        <v>373</v>
      </c>
      <c r="G546" s="313" t="str">
        <f>VLOOKUP(A546,Plano_V3!$A$26:$G$753,7,0)</f>
        <v>1. Concluído</v>
      </c>
      <c r="H546" s="313" t="s">
        <v>612</v>
      </c>
      <c r="I546" s="142"/>
      <c r="J546" s="152" t="str">
        <f>IF(VLOOKUP(A537,'Aux - pivots1'!$A:$E,3,0)=0, "",VLOOKUP(A537,'Aux - pivots1'!$A:$E,3,0))</f>
        <v/>
      </c>
      <c r="K546" s="152" t="str">
        <f>IF(VLOOKUP(A537,'Aux - pivots1'!$A:$E,4,0)=0, "",VLOOKUP(A537,'Aux - pivots1'!$A:$E,4,0))</f>
        <v/>
      </c>
      <c r="L546" s="152" t="str">
        <f>IF(VLOOKUP(A537,'Aux - pivots1'!$A:$E,5,0)=0, "",VLOOKUP(A537,'Aux - pivots1'!$A:$E,5,0))</f>
        <v/>
      </c>
      <c r="M546" s="205"/>
      <c r="N546" s="205"/>
      <c r="O546" s="337" t="s">
        <v>26</v>
      </c>
    </row>
    <row r="547" spans="1:17" ht="16.2" customHeight="1">
      <c r="A547" s="29" t="str">
        <f t="shared" si="8"/>
        <v>lt004_protectionemssns_scp2_prtctn</v>
      </c>
      <c r="B547" s="141" t="s">
        <v>26</v>
      </c>
      <c r="C547" s="137" t="s">
        <v>26</v>
      </c>
      <c r="D547" s="133" t="s">
        <v>40</v>
      </c>
      <c r="E547" s="136" t="s">
        <v>368</v>
      </c>
      <c r="F547" s="312" t="s">
        <v>374</v>
      </c>
      <c r="G547" s="313" t="str">
        <f>VLOOKUP(A547,Plano_V3!$A$26:$G$753,7,0)</f>
        <v>1. Concluído</v>
      </c>
      <c r="H547" s="313" t="s">
        <v>612</v>
      </c>
      <c r="I547" s="142"/>
      <c r="J547" s="152" t="str">
        <f>IF(VLOOKUP(A538,'Aux - pivots1'!$A:$E,3,0)=0, "",VLOOKUP(A538,'Aux - pivots1'!$A:$E,3,0))</f>
        <v/>
      </c>
      <c r="K547" s="152" t="str">
        <f>IF(VLOOKUP(A538,'Aux - pivots1'!$A:$E,4,0)=0, "",VLOOKUP(A538,'Aux - pivots1'!$A:$E,4,0))</f>
        <v/>
      </c>
      <c r="L547" s="152" t="str">
        <f>IF(VLOOKUP(A538,'Aux - pivots1'!$A:$E,5,0)=0, "",VLOOKUP(A538,'Aux - pivots1'!$A:$E,5,0))</f>
        <v/>
      </c>
      <c r="M547" s="205"/>
      <c r="N547" s="205"/>
      <c r="O547" s="337" t="s">
        <v>26</v>
      </c>
    </row>
    <row r="548" spans="1:17" ht="16.2" customHeight="1">
      <c r="A548" s="29" t="str">
        <f t="shared" si="8"/>
        <v>lt004_protectionemssns_scp3_prtctn</v>
      </c>
      <c r="B548" s="141" t="s">
        <v>26</v>
      </c>
      <c r="C548" s="137" t="s">
        <v>26</v>
      </c>
      <c r="D548" s="133" t="s">
        <v>40</v>
      </c>
      <c r="E548" s="136" t="s">
        <v>368</v>
      </c>
      <c r="F548" s="312" t="s">
        <v>375</v>
      </c>
      <c r="G548" s="313" t="str">
        <f>VLOOKUP(A548,Plano_V3!$A$26:$G$753,7,0)</f>
        <v>1. Concluído</v>
      </c>
      <c r="H548" s="313" t="s">
        <v>612</v>
      </c>
      <c r="I548" s="142"/>
      <c r="J548" s="152" t="str">
        <f>IF(VLOOKUP(A539,'Aux - pivots1'!$A:$E,3,0)=0, "",VLOOKUP(A539,'Aux - pivots1'!$A:$E,3,0))</f>
        <v/>
      </c>
      <c r="K548" s="152" t="str">
        <f>IF(VLOOKUP(A539,'Aux - pivots1'!$A:$E,4,0)=0, "",VLOOKUP(A539,'Aux - pivots1'!$A:$E,4,0))</f>
        <v/>
      </c>
      <c r="L548" s="152" t="str">
        <f>IF(VLOOKUP(A539,'Aux - pivots1'!$A:$E,5,0)=0, "",VLOOKUP(A539,'Aux - pivots1'!$A:$E,5,0))</f>
        <v/>
      </c>
      <c r="M548" s="205"/>
      <c r="N548" s="205"/>
      <c r="O548" s="337" t="s">
        <v>26</v>
      </c>
    </row>
    <row r="549" spans="1:17" ht="16.2"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313" t="s">
        <v>612</v>
      </c>
      <c r="I549" s="142"/>
      <c r="J549" s="152" t="str">
        <f>IF(VLOOKUP(A540,'Aux - pivots1'!$A:$E,3,0)=0, "",VLOOKUP(A540,'Aux - pivots1'!$A:$E,3,0))</f>
        <v/>
      </c>
      <c r="K549" s="152" t="str">
        <f>IF(VLOOKUP(A540,'Aux - pivots1'!$A:$E,4,0)=0, "",VLOOKUP(A540,'Aux - pivots1'!$A:$E,4,0))</f>
        <v/>
      </c>
      <c r="L549" s="152" t="str">
        <f>IF(VLOOKUP(A540,'Aux - pivots1'!$A:$E,5,0)=0, "",VLOOKUP(A540,'Aux - pivots1'!$A:$E,5,0))</f>
        <v/>
      </c>
      <c r="M549" s="205"/>
      <c r="N549" s="205"/>
      <c r="O549" s="337" t="s">
        <v>26</v>
      </c>
    </row>
    <row r="550" spans="1:17" ht="16.2">
      <c r="A550" s="29" t="str">
        <f t="shared" si="8"/>
        <v>lt004_protectionmthd_usd_prtctn_scp_2</v>
      </c>
      <c r="B550" s="141" t="s">
        <v>26</v>
      </c>
      <c r="C550" s="137" t="s">
        <v>26</v>
      </c>
      <c r="D550" s="133" t="s">
        <v>40</v>
      </c>
      <c r="E550" s="136" t="s">
        <v>368</v>
      </c>
      <c r="F550" s="312" t="s">
        <v>377</v>
      </c>
      <c r="G550" s="313" t="str">
        <f>VLOOKUP(A550,Plano_V3!$A$26:$G$753,7,0)</f>
        <v>1. Concluído</v>
      </c>
      <c r="H550" s="313" t="s">
        <v>612</v>
      </c>
      <c r="I550" s="142"/>
      <c r="J550" s="152" t="str">
        <f>IF(VLOOKUP(A541,'Aux - pivots1'!$A:$E,3,0)=0, "",VLOOKUP(A541,'Aux - pivots1'!$A:$E,3,0))</f>
        <v/>
      </c>
      <c r="K550" s="152" t="str">
        <f>IF(VLOOKUP(A541,'Aux - pivots1'!$A:$E,4,0)=0, "",VLOOKUP(A541,'Aux - pivots1'!$A:$E,4,0))</f>
        <v/>
      </c>
      <c r="L550" s="152" t="str">
        <f>IF(VLOOKUP(A541,'Aux - pivots1'!$A:$E,5,0)=0, "",VLOOKUP(A541,'Aux - pivots1'!$A:$E,5,0))</f>
        <v/>
      </c>
      <c r="M550" s="205"/>
      <c r="N550" s="205"/>
      <c r="O550" s="337" t="s">
        <v>26</v>
      </c>
    </row>
    <row r="551" spans="1:17" ht="16.2">
      <c r="A551" s="29" t="str">
        <f t="shared" si="8"/>
        <v>lt004_protectionmthd_usd_prtctn_scp_3</v>
      </c>
      <c r="B551" s="141" t="s">
        <v>26</v>
      </c>
      <c r="C551" s="137" t="s">
        <v>26</v>
      </c>
      <c r="D551" s="133" t="s">
        <v>40</v>
      </c>
      <c r="E551" s="136" t="s">
        <v>368</v>
      </c>
      <c r="F551" s="312" t="s">
        <v>378</v>
      </c>
      <c r="G551" s="313" t="str">
        <f>VLOOKUP(A551,Plano_V3!$A$26:$G$753,7,0)</f>
        <v>1. Concluído</v>
      </c>
      <c r="H551" s="313" t="s">
        <v>612</v>
      </c>
      <c r="I551" s="142"/>
      <c r="J551" s="152" t="str">
        <f>IF(VLOOKUP(A542,'Aux - pivots1'!$A:$E,3,0)=0, "",VLOOKUP(A542,'Aux - pivots1'!$A:$E,3,0))</f>
        <v/>
      </c>
      <c r="K551" s="152" t="str">
        <f>IF(VLOOKUP(A542,'Aux - pivots1'!$A:$E,4,0)=0, "",VLOOKUP(A542,'Aux - pivots1'!$A:$E,4,0))</f>
        <v/>
      </c>
      <c r="L551" s="152" t="str">
        <f>IF(VLOOKUP(A542,'Aux - pivots1'!$A:$E,5,0)=0, "",VLOOKUP(A542,'Aux - pivots1'!$A:$E,5,0))</f>
        <v/>
      </c>
      <c r="M551" s="205"/>
      <c r="N551" s="205"/>
      <c r="O551" s="337" t="s">
        <v>26</v>
      </c>
    </row>
    <row r="552" spans="1:17" ht="16.2">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313" t="s">
        <v>612</v>
      </c>
      <c r="I552" s="142"/>
      <c r="J552" s="152" t="str">
        <f>IF(VLOOKUP(A543,'Aux - pivots1'!$A:$E,3,0)=0, "",VLOOKUP(A543,'Aux - pivots1'!$A:$E,3,0))</f>
        <v/>
      </c>
      <c r="K552" s="152" t="str">
        <f>IF(VLOOKUP(A543,'Aux - pivots1'!$A:$E,4,0)=0, "",VLOOKUP(A543,'Aux - pivots1'!$A:$E,4,0))</f>
        <v/>
      </c>
      <c r="L552" s="152" t="str">
        <f>IF(VLOOKUP(A543,'Aux - pivots1'!$A:$E,5,0)=0, "",VLOOKUP(A543,'Aux - pivots1'!$A:$E,5,0))</f>
        <v/>
      </c>
      <c r="M552" s="205"/>
      <c r="N552" s="205"/>
      <c r="O552" s="337" t="s">
        <v>26</v>
      </c>
    </row>
    <row r="553" spans="1:17" ht="16.2"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313" t="s">
        <v>612</v>
      </c>
      <c r="I553" s="142"/>
      <c r="J553" s="152" t="str">
        <f>IF(VLOOKUP(A544,'Aux - pivots1'!$A:$E,3,0)=0, "",VLOOKUP(A544,'Aux - pivots1'!$A:$E,3,0))</f>
        <v/>
      </c>
      <c r="K553" s="152" t="str">
        <f>IF(VLOOKUP(A544,'Aux - pivots1'!$A:$E,4,0)=0, "",VLOOKUP(A544,'Aux - pivots1'!$A:$E,4,0))</f>
        <v/>
      </c>
      <c r="L553" s="152" t="str">
        <f>IF(VLOOKUP(A544,'Aux - pivots1'!$A:$E,5,0)=0, "",VLOOKUP(A544,'Aux - pivots1'!$A:$E,5,0))</f>
        <v/>
      </c>
      <c r="M553" s="205"/>
      <c r="N553" s="205"/>
      <c r="O553" s="337" t="s">
        <v>26</v>
      </c>
    </row>
    <row r="554" spans="1:17" ht="16.2"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52" t="str">
        <f>IF(VLOOKUP(A545,'Aux - pivots1'!$A:$E,3,0)=0, "",VLOOKUP(A545,'Aux - pivots1'!$A:$E,3,0))</f>
        <v/>
      </c>
      <c r="K554" s="152" t="str">
        <f>IF(VLOOKUP(A545,'Aux - pivots1'!$A:$E,4,0)=0, "",VLOOKUP(A545,'Aux - pivots1'!$A:$E,4,0))</f>
        <v/>
      </c>
      <c r="L554" s="152" t="str">
        <f>IF(VLOOKUP(A545,'Aux - pivots1'!$A:$E,5,0)=0, "",VLOOKUP(A545,'Aux - pivots1'!$A:$E,5,0))</f>
        <v/>
      </c>
      <c r="M554" s="205">
        <v>45595</v>
      </c>
      <c r="N554" s="205"/>
      <c r="O554" s="337" t="s">
        <v>26</v>
      </c>
    </row>
    <row r="555" spans="1:17" ht="16.2"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52" t="str">
        <f>IF(VLOOKUP(A546,'Aux - pivots1'!$A:$E,3,0)=0, "",VLOOKUP(A546,'Aux - pivots1'!$A:$E,3,0))</f>
        <v/>
      </c>
      <c r="K555" s="152" t="str">
        <f>IF(VLOOKUP(A546,'Aux - pivots1'!$A:$E,4,0)=0, "",VLOOKUP(A546,'Aux - pivots1'!$A:$E,4,0))</f>
        <v/>
      </c>
      <c r="L555" s="152" t="str">
        <f>IF(VLOOKUP(A546,'Aux - pivots1'!$A:$E,5,0)=0, "",VLOOKUP(A546,'Aux - pivots1'!$A:$E,5,0))</f>
        <v/>
      </c>
      <c r="M555" s="205">
        <v>45595</v>
      </c>
      <c r="N555" s="205"/>
      <c r="O555" s="337" t="s">
        <v>26</v>
      </c>
      <c r="Q555" s="268" t="s">
        <v>1883</v>
      </c>
    </row>
    <row r="556" spans="1:17" ht="16.2" customHeight="1">
      <c r="A556" s="29" t="str">
        <f t="shared" si="8"/>
        <v>lt007_instr_activityenvrnmntl_objctv</v>
      </c>
      <c r="B556" s="141" t="s">
        <v>26</v>
      </c>
      <c r="C556" s="137" t="s">
        <v>26</v>
      </c>
      <c r="D556" s="133" t="s">
        <v>40</v>
      </c>
      <c r="E556" s="136" t="s">
        <v>1887</v>
      </c>
      <c r="F556" s="136" t="s">
        <v>382</v>
      </c>
      <c r="G556" s="135" t="str">
        <f>VLOOKUP(A556,Plano_V3!$A$26:$G$753,7,0)</f>
        <v>1. Concluído</v>
      </c>
      <c r="H556" s="135" t="s">
        <v>612</v>
      </c>
      <c r="I556" s="142"/>
      <c r="J556" s="152" t="str">
        <f>IF(VLOOKUP(A547,'Aux - pivots1'!$A:$E,3,0)=0, "",VLOOKUP(A547,'Aux - pivots1'!$A:$E,3,0))</f>
        <v/>
      </c>
      <c r="K556" s="152" t="str">
        <f>IF(VLOOKUP(A547,'Aux - pivots1'!$A:$E,4,0)=0, "",VLOOKUP(A547,'Aux - pivots1'!$A:$E,4,0))</f>
        <v/>
      </c>
      <c r="L556" s="152" t="str">
        <f>IF(VLOOKUP(A547,'Aux - pivots1'!$A:$E,5,0)=0, "",VLOOKUP(A547,'Aux - pivots1'!$A:$E,5,0))</f>
        <v/>
      </c>
      <c r="M556" s="205">
        <v>45593</v>
      </c>
      <c r="N556" s="205"/>
      <c r="O556" s="337" t="s">
        <v>26</v>
      </c>
      <c r="Q556" s="268" t="s">
        <v>2379</v>
      </c>
    </row>
    <row r="557" spans="1:17" ht="16.2" customHeight="1">
      <c r="A557" s="29" t="str">
        <f t="shared" si="8"/>
        <v>lt007_instr_activitytyp_actvty</v>
      </c>
      <c r="B557" s="141" t="s">
        <v>26</v>
      </c>
      <c r="C557" s="137" t="s">
        <v>26</v>
      </c>
      <c r="D557" s="133" t="s">
        <v>40</v>
      </c>
      <c r="E557" s="136" t="s">
        <v>1887</v>
      </c>
      <c r="F557" s="136" t="s">
        <v>383</v>
      </c>
      <c r="G557" s="135" t="str">
        <f>VLOOKUP(A557,Plano_V3!$A$26:$G$753,7,0)</f>
        <v>1. Concluído</v>
      </c>
      <c r="H557" s="135" t="s">
        <v>612</v>
      </c>
      <c r="I557" s="142"/>
      <c r="J557" s="152" t="str">
        <f>IF(VLOOKUP(A548,'Aux - pivots1'!$A:$E,3,0)=0, "",VLOOKUP(A548,'Aux - pivots1'!$A:$E,3,0))</f>
        <v/>
      </c>
      <c r="K557" s="152" t="str">
        <f>IF(VLOOKUP(A548,'Aux - pivots1'!$A:$E,4,0)=0, "",VLOOKUP(A548,'Aux - pivots1'!$A:$E,4,0))</f>
        <v/>
      </c>
      <c r="L557" s="152" t="str">
        <f>IF(VLOOKUP(A548,'Aux - pivots1'!$A:$E,5,0)=0, "",VLOOKUP(A548,'Aux - pivots1'!$A:$E,5,0))</f>
        <v/>
      </c>
      <c r="M557" s="205">
        <v>45593</v>
      </c>
      <c r="N557" s="205"/>
      <c r="O557" s="337" t="s">
        <v>26</v>
      </c>
      <c r="Q557" s="268" t="s">
        <v>2379</v>
      </c>
    </row>
    <row r="558" spans="1:17" ht="16.2">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52" t="str">
        <f>IF(VLOOKUP(A549,'Aux - pivots1'!$A:$E,3,0)=0, "",VLOOKUP(A549,'Aux - pivots1'!$A:$E,3,0))</f>
        <v/>
      </c>
      <c r="K558" s="152" t="str">
        <f>IF(VLOOKUP(A549,'Aux - pivots1'!$A:$E,4,0)=0, "",VLOOKUP(A549,'Aux - pivots1'!$A:$E,4,0))</f>
        <v/>
      </c>
      <c r="L558" s="152" t="str">
        <f>IF(VLOOKUP(A549,'Aux - pivots1'!$A:$E,5,0)=0, "",VLOOKUP(A549,'Aux - pivots1'!$A:$E,5,0))</f>
        <v/>
      </c>
      <c r="M558" s="205"/>
      <c r="N558" s="205"/>
      <c r="O558" s="337" t="s">
        <v>26</v>
      </c>
    </row>
    <row r="559" spans="1:17" ht="16.2">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52" t="str">
        <f>IF(VLOOKUP(A550,'Aux - pivots1'!$A:$E,3,0)=0, "",VLOOKUP(A550,'Aux - pivots1'!$A:$E,3,0))</f>
        <v/>
      </c>
      <c r="K559" s="152" t="str">
        <f>IF(VLOOKUP(A550,'Aux - pivots1'!$A:$E,4,0)=0, "",VLOOKUP(A550,'Aux - pivots1'!$A:$E,4,0))</f>
        <v/>
      </c>
      <c r="L559" s="152" t="str">
        <f>IF(VLOOKUP(A550,'Aux - pivots1'!$A:$E,5,0)=0, "",VLOOKUP(A550,'Aux - pivots1'!$A:$E,5,0))</f>
        <v/>
      </c>
      <c r="M559" s="205">
        <v>45593</v>
      </c>
      <c r="N559" s="205"/>
      <c r="O559" s="337" t="s">
        <v>26</v>
      </c>
      <c r="Q559" s="268" t="s">
        <v>1884</v>
      </c>
    </row>
    <row r="560" spans="1:17" ht="16.2">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52" t="str">
        <f>IF(VLOOKUP(A551,'Aux - pivots1'!$A:$E,3,0)=0, "",VLOOKUP(A551,'Aux - pivots1'!$A:$E,3,0))</f>
        <v/>
      </c>
      <c r="K560" s="152" t="str">
        <f>IF(VLOOKUP(A551,'Aux - pivots1'!$A:$E,4,0)=0, "",VLOOKUP(A551,'Aux - pivots1'!$A:$E,4,0))</f>
        <v/>
      </c>
      <c r="L560" s="152" t="str">
        <f>IF(VLOOKUP(A551,'Aux - pivots1'!$A:$E,5,0)=0, "",VLOOKUP(A551,'Aux - pivots1'!$A:$E,5,0))</f>
        <v/>
      </c>
      <c r="M560" s="205">
        <v>45593</v>
      </c>
      <c r="N560" s="205"/>
      <c r="O560" s="337" t="s">
        <v>26</v>
      </c>
      <c r="Q560" s="268" t="s">
        <v>1884</v>
      </c>
    </row>
    <row r="561" spans="1:17" ht="16.2">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52" t="str">
        <f>IF(VLOOKUP(A552,'Aux - pivots1'!$A:$E,3,0)=0, "",VLOOKUP(A552,'Aux - pivots1'!$A:$E,3,0))</f>
        <v/>
      </c>
      <c r="K561" s="152" t="str">
        <f>IF(VLOOKUP(A552,'Aux - pivots1'!$A:$E,4,0)=0, "",VLOOKUP(A552,'Aux - pivots1'!$A:$E,4,0))</f>
        <v/>
      </c>
      <c r="L561" s="152" t="str">
        <f>IF(VLOOKUP(A552,'Aux - pivots1'!$A:$E,5,0)=0, "",VLOOKUP(A552,'Aux - pivots1'!$A:$E,5,0))</f>
        <v/>
      </c>
      <c r="M561" s="205">
        <v>45593</v>
      </c>
      <c r="N561" s="205"/>
      <c r="O561" s="337" t="s">
        <v>26</v>
      </c>
      <c r="Q561" s="268" t="s">
        <v>1884</v>
      </c>
    </row>
    <row r="562" spans="1:17" ht="16.2">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t="s">
        <v>1868</v>
      </c>
      <c r="J562" s="152" t="str">
        <f>IF(VLOOKUP(A553,'Aux - pivots1'!$A:$E,3,0)=0, "",VLOOKUP(A553,'Aux - pivots1'!$A:$E,3,0))</f>
        <v/>
      </c>
      <c r="K562" s="152" t="str">
        <f>IF(VLOOKUP(A553,'Aux - pivots1'!$A:$E,4,0)=0, "",VLOOKUP(A553,'Aux - pivots1'!$A:$E,4,0))</f>
        <v/>
      </c>
      <c r="L562" s="152" t="str">
        <f>IF(VLOOKUP(A553,'Aux - pivots1'!$A:$E,5,0)=0, "",VLOOKUP(A553,'Aux - pivots1'!$A:$E,5,0))</f>
        <v/>
      </c>
      <c r="M562" s="205">
        <v>45593</v>
      </c>
      <c r="N562" s="205"/>
      <c r="O562" s="337" t="s">
        <v>26</v>
      </c>
    </row>
    <row r="563" spans="1:17" ht="16.2">
      <c r="A563" s="29" t="str">
        <f t="shared" si="8"/>
        <v>lt827_mthd_usd_instrmntambito</v>
      </c>
      <c r="B563" s="141" t="s">
        <v>26</v>
      </c>
      <c r="C563" s="137" t="s">
        <v>26</v>
      </c>
      <c r="D563" s="133" t="s">
        <v>40</v>
      </c>
      <c r="E563" s="136" t="s">
        <v>1888</v>
      </c>
      <c r="F563" s="136" t="s">
        <v>390</v>
      </c>
      <c r="G563" s="135" t="str">
        <f>VLOOKUP(A563,Plano_V3!$A$26:$G$753,7,0)</f>
        <v>1. Concluído</v>
      </c>
      <c r="H563" s="135" t="s">
        <v>612</v>
      </c>
      <c r="I563" s="142"/>
      <c r="J563" s="152" t="str">
        <f>IF(VLOOKUP(A554,'Aux - pivots1'!$A:$E,3,0)=0, "",VLOOKUP(A554,'Aux - pivots1'!$A:$E,3,0))</f>
        <v/>
      </c>
      <c r="K563" s="152" t="str">
        <f>IF(VLOOKUP(A554,'Aux - pivots1'!$A:$E,4,0)=0, "",VLOOKUP(A554,'Aux - pivots1'!$A:$E,4,0))</f>
        <v/>
      </c>
      <c r="L563" s="152" t="str">
        <f>IF(VLOOKUP(A554,'Aux - pivots1'!$A:$E,5,0)=0, "",VLOOKUP(A554,'Aux - pivots1'!$A:$E,5,0))</f>
        <v/>
      </c>
      <c r="M563" s="205">
        <v>45593</v>
      </c>
      <c r="N563" s="205"/>
      <c r="O563" s="337" t="s">
        <v>26</v>
      </c>
    </row>
    <row r="564" spans="1:17" ht="16.2">
      <c r="A564" s="29" t="str">
        <f t="shared" si="8"/>
        <v>lt827_mthd_usd_instrmntref_date</v>
      </c>
      <c r="B564" s="141" t="s">
        <v>26</v>
      </c>
      <c r="C564" s="137" t="s">
        <v>26</v>
      </c>
      <c r="D564" s="133" t="s">
        <v>40</v>
      </c>
      <c r="E564" s="136" t="s">
        <v>1888</v>
      </c>
      <c r="F564" s="136" t="s">
        <v>208</v>
      </c>
      <c r="G564" s="135" t="str">
        <f>VLOOKUP(A564,Plano_V3!$A$26:$G$753,7,0)</f>
        <v>1. Concluído</v>
      </c>
      <c r="H564" s="135" t="s">
        <v>612</v>
      </c>
      <c r="I564" s="142"/>
      <c r="J564" s="152" t="str">
        <f>IF(VLOOKUP(A555,'Aux - pivots1'!$A:$E,3,0)=0, "",VLOOKUP(A555,'Aux - pivots1'!$A:$E,3,0))</f>
        <v/>
      </c>
      <c r="K564" s="152" t="str">
        <f>IF(VLOOKUP(A555,'Aux - pivots1'!$A:$E,4,0)=0, "",VLOOKUP(A555,'Aux - pivots1'!$A:$E,4,0))</f>
        <v/>
      </c>
      <c r="L564" s="152" t="str">
        <f>IF(VLOOKUP(A555,'Aux - pivots1'!$A:$E,5,0)=0, "",VLOOKUP(A555,'Aux - pivots1'!$A:$E,5,0))</f>
        <v/>
      </c>
      <c r="M564" s="205">
        <v>45593</v>
      </c>
      <c r="N564" s="205"/>
      <c r="O564" s="337" t="s">
        <v>26</v>
      </c>
    </row>
    <row r="565" spans="1:17" ht="16.2">
      <c r="A565" s="29" t="str">
        <f t="shared" si="8"/>
        <v>lt827_mthd_usd_instrmntordem</v>
      </c>
      <c r="B565" s="141" t="s">
        <v>26</v>
      </c>
      <c r="C565" s="137" t="s">
        <v>26</v>
      </c>
      <c r="D565" s="133" t="s">
        <v>40</v>
      </c>
      <c r="E565" s="136" t="s">
        <v>1888</v>
      </c>
      <c r="F565" s="136" t="s">
        <v>211</v>
      </c>
      <c r="G565" s="135" t="str">
        <f>VLOOKUP(A565,Plano_V3!$A$26:$G$753,7,0)</f>
        <v>1. Concluído</v>
      </c>
      <c r="H565" s="135" t="s">
        <v>612</v>
      </c>
      <c r="I565" s="142"/>
      <c r="J565" s="152" t="str">
        <f>IF(VLOOKUP(A556,'Aux - pivots1'!$A:$E,3,0)=0, "",VLOOKUP(A556,'Aux - pivots1'!$A:$E,3,0))</f>
        <v/>
      </c>
      <c r="K565" s="152" t="str">
        <f>IF(VLOOKUP(A556,'Aux - pivots1'!$A:$E,4,0)=0, "",VLOOKUP(A556,'Aux - pivots1'!$A:$E,4,0))</f>
        <v/>
      </c>
      <c r="L565" s="152" t="str">
        <f>IF(VLOOKUP(A556,'Aux - pivots1'!$A:$E,5,0)=0, "",VLOOKUP(A556,'Aux - pivots1'!$A:$E,5,0))</f>
        <v/>
      </c>
      <c r="M565" s="205">
        <v>45593</v>
      </c>
      <c r="N565" s="205"/>
      <c r="O565" s="337" t="s">
        <v>26</v>
      </c>
    </row>
    <row r="566" spans="1:17" ht="16.2">
      <c r="A566" s="29" t="str">
        <f t="shared" si="8"/>
        <v>lt827_mthd_usd_instrmnttabela</v>
      </c>
      <c r="B566" s="141" t="s">
        <v>26</v>
      </c>
      <c r="C566" s="137" t="s">
        <v>26</v>
      </c>
      <c r="D566" s="133" t="s">
        <v>40</v>
      </c>
      <c r="E566" s="136" t="s">
        <v>1888</v>
      </c>
      <c r="F566" s="136" t="s">
        <v>391</v>
      </c>
      <c r="G566" s="135" t="str">
        <f>VLOOKUP(A566,Plano_V3!$A$26:$G$753,7,0)</f>
        <v>1. Concluído</v>
      </c>
      <c r="H566" s="135" t="s">
        <v>612</v>
      </c>
      <c r="I566" s="142"/>
      <c r="J566" s="152" t="str">
        <f>IF(VLOOKUP(A557,'Aux - pivots1'!$A:$E,3,0)=0, "",VLOOKUP(A557,'Aux - pivots1'!$A:$E,3,0))</f>
        <v/>
      </c>
      <c r="K566" s="152" t="str">
        <f>IF(VLOOKUP(A557,'Aux - pivots1'!$A:$E,4,0)=0, "",VLOOKUP(A557,'Aux - pivots1'!$A:$E,4,0))</f>
        <v/>
      </c>
      <c r="L566" s="152" t="str">
        <f>IF(VLOOKUP(A557,'Aux - pivots1'!$A:$E,5,0)=0, "",VLOOKUP(A557,'Aux - pivots1'!$A:$E,5,0))</f>
        <v/>
      </c>
      <c r="M566" s="205">
        <v>45593</v>
      </c>
      <c r="N566" s="205"/>
      <c r="O566" s="337" t="s">
        <v>26</v>
      </c>
    </row>
    <row r="567" spans="1:17" ht="16.2">
      <c r="A567" s="29" t="str">
        <f t="shared" si="8"/>
        <v>lt827_mthd_usd_instrmntorigem_scp1_emss</v>
      </c>
      <c r="B567" s="141" t="s">
        <v>26</v>
      </c>
      <c r="C567" s="137" t="s">
        <v>26</v>
      </c>
      <c r="D567" s="133" t="s">
        <v>40</v>
      </c>
      <c r="E567" s="136" t="s">
        <v>1888</v>
      </c>
      <c r="F567" s="136" t="s">
        <v>319</v>
      </c>
      <c r="G567" s="135" t="str">
        <f>VLOOKUP(A567,Plano_V3!$A$26:$G$753,7,0)</f>
        <v>1. Concluído</v>
      </c>
      <c r="H567" s="135" t="s">
        <v>612</v>
      </c>
      <c r="I567" s="142"/>
      <c r="J567" s="152" t="str">
        <f>IF(VLOOKUP(A558,'Aux - pivots1'!$A:$E,3,0)=0, "",VLOOKUP(A558,'Aux - pivots1'!$A:$E,3,0))</f>
        <v/>
      </c>
      <c r="K567" s="152" t="str">
        <f>IF(VLOOKUP(A558,'Aux - pivots1'!$A:$E,4,0)=0, "",VLOOKUP(A558,'Aux - pivots1'!$A:$E,4,0))</f>
        <v/>
      </c>
      <c r="L567" s="152" t="str">
        <f>IF(VLOOKUP(A558,'Aux - pivots1'!$A:$E,5,0)=0, "",VLOOKUP(A558,'Aux - pivots1'!$A:$E,5,0))</f>
        <v/>
      </c>
      <c r="M567" s="205">
        <v>45593</v>
      </c>
      <c r="N567" s="205"/>
      <c r="O567" s="337" t="s">
        <v>26</v>
      </c>
    </row>
    <row r="568" spans="1:17" ht="16.2">
      <c r="A568" s="29" t="str">
        <f t="shared" si="8"/>
        <v>lt827_mthd_usd_instrmntorigem_scp2_emss</v>
      </c>
      <c r="B568" s="141" t="s">
        <v>26</v>
      </c>
      <c r="C568" s="137" t="s">
        <v>26</v>
      </c>
      <c r="D568" s="133" t="s">
        <v>40</v>
      </c>
      <c r="E568" s="136" t="s">
        <v>1888</v>
      </c>
      <c r="F568" s="136" t="s">
        <v>320</v>
      </c>
      <c r="G568" s="135" t="str">
        <f>VLOOKUP(A568,Plano_V3!$A$26:$G$753,7,0)</f>
        <v>1. Concluído</v>
      </c>
      <c r="H568" s="135" t="s">
        <v>612</v>
      </c>
      <c r="I568" s="142"/>
      <c r="J568" s="152" t="str">
        <f>IF(VLOOKUP(A559,'Aux - pivots1'!$A:$E,3,0)=0, "",VLOOKUP(A559,'Aux - pivots1'!$A:$E,3,0))</f>
        <v/>
      </c>
      <c r="K568" s="152" t="str">
        <f>IF(VLOOKUP(A559,'Aux - pivots1'!$A:$E,4,0)=0, "",VLOOKUP(A559,'Aux - pivots1'!$A:$E,4,0))</f>
        <v/>
      </c>
      <c r="L568" s="152" t="str">
        <f>IF(VLOOKUP(A559,'Aux - pivots1'!$A:$E,5,0)=0, "",VLOOKUP(A559,'Aux - pivots1'!$A:$E,5,0))</f>
        <v/>
      </c>
      <c r="M568" s="205">
        <v>45593</v>
      </c>
      <c r="N568" s="205"/>
      <c r="O568" s="337" t="s">
        <v>26</v>
      </c>
    </row>
    <row r="569" spans="1:17" ht="16.2" customHeight="1">
      <c r="A569" s="29" t="str">
        <f t="shared" si="8"/>
        <v>lt827_mthd_usd_instrmntorigem_scp3_emss</v>
      </c>
      <c r="B569" s="141" t="s">
        <v>26</v>
      </c>
      <c r="C569" s="137" t="s">
        <v>26</v>
      </c>
      <c r="D569" s="133" t="s">
        <v>40</v>
      </c>
      <c r="E569" s="136" t="s">
        <v>1888</v>
      </c>
      <c r="F569" s="136" t="s">
        <v>321</v>
      </c>
      <c r="G569" s="135" t="str">
        <f>VLOOKUP(A569,Plano_V3!$A$26:$G$753,7,0)</f>
        <v>1. Concluído</v>
      </c>
      <c r="H569" s="135" t="s">
        <v>612</v>
      </c>
      <c r="I569" s="142"/>
      <c r="J569" s="152" t="str">
        <f>IF(VLOOKUP(A560,'Aux - pivots1'!$A:$E,3,0)=0, "",VLOOKUP(A560,'Aux - pivots1'!$A:$E,3,0))</f>
        <v/>
      </c>
      <c r="K569" s="152" t="str">
        <f>IF(VLOOKUP(A560,'Aux - pivots1'!$A:$E,4,0)=0, "",VLOOKUP(A560,'Aux - pivots1'!$A:$E,4,0))</f>
        <v/>
      </c>
      <c r="L569" s="152" t="str">
        <f>IF(VLOOKUP(A560,'Aux - pivots1'!$A:$E,5,0)=0, "",VLOOKUP(A560,'Aux - pivots1'!$A:$E,5,0))</f>
        <v/>
      </c>
      <c r="M569" s="205">
        <v>45593</v>
      </c>
      <c r="N569" s="205"/>
      <c r="O569" s="337" t="s">
        <v>26</v>
      </c>
    </row>
    <row r="570" spans="1:17" ht="16.2" customHeight="1">
      <c r="A570" s="29" t="str">
        <f t="shared" si="8"/>
        <v>lt827_mthd_usd_instrmntmthd_usd_instrmnt_scp_1</v>
      </c>
      <c r="B570" s="141" t="s">
        <v>26</v>
      </c>
      <c r="C570" s="137" t="s">
        <v>26</v>
      </c>
      <c r="D570" s="133" t="s">
        <v>40</v>
      </c>
      <c r="E570" s="136" t="s">
        <v>1888</v>
      </c>
      <c r="F570" s="136" t="s">
        <v>385</v>
      </c>
      <c r="G570" s="135" t="str">
        <f>VLOOKUP(A570,Plano_V3!$A$26:$G$753,7,0)</f>
        <v>1. Concluído</v>
      </c>
      <c r="H570" s="135" t="s">
        <v>612</v>
      </c>
      <c r="I570" s="142"/>
      <c r="J570" s="152" t="str">
        <f>IF(VLOOKUP(A561,'Aux - pivots1'!$A:$E,3,0)=0, "",VLOOKUP(A561,'Aux - pivots1'!$A:$E,3,0))</f>
        <v/>
      </c>
      <c r="K570" s="152" t="str">
        <f>IF(VLOOKUP(A561,'Aux - pivots1'!$A:$E,4,0)=0, "",VLOOKUP(A561,'Aux - pivots1'!$A:$E,4,0))</f>
        <v/>
      </c>
      <c r="L570" s="152" t="str">
        <f>IF(VLOOKUP(A561,'Aux - pivots1'!$A:$E,5,0)=0, "",VLOOKUP(A561,'Aux - pivots1'!$A:$E,5,0))</f>
        <v/>
      </c>
      <c r="M570" s="205">
        <v>45593</v>
      </c>
      <c r="N570" s="205"/>
      <c r="O570" s="337" t="s">
        <v>26</v>
      </c>
    </row>
    <row r="571" spans="1:17" ht="16.2" customHeight="1">
      <c r="A571" s="29" t="str">
        <f t="shared" si="8"/>
        <v>lt827_mthd_usd_instrmntmthd_usd_instrmnt_scp_2</v>
      </c>
      <c r="B571" s="141" t="s">
        <v>26</v>
      </c>
      <c r="C571" s="137" t="s">
        <v>26</v>
      </c>
      <c r="D571" s="133" t="s">
        <v>40</v>
      </c>
      <c r="E571" s="136" t="s">
        <v>1888</v>
      </c>
      <c r="F571" s="136" t="s">
        <v>386</v>
      </c>
      <c r="G571" s="135" t="str">
        <f>VLOOKUP(A571,Plano_V3!$A$26:$G$753,7,0)</f>
        <v>1. Concluído</v>
      </c>
      <c r="H571" s="135" t="s">
        <v>612</v>
      </c>
      <c r="I571" s="142"/>
      <c r="J571" s="152" t="str">
        <f>IF(VLOOKUP(A562,'Aux - pivots1'!$A:$E,3,0)=0, "",VLOOKUP(A562,'Aux - pivots1'!$A:$E,3,0))</f>
        <v/>
      </c>
      <c r="K571" s="152" t="str">
        <f>IF(VLOOKUP(A562,'Aux - pivots1'!$A:$E,4,0)=0, "",VLOOKUP(A562,'Aux - pivots1'!$A:$E,4,0))</f>
        <v/>
      </c>
      <c r="L571" s="152" t="str">
        <f>IF(VLOOKUP(A562,'Aux - pivots1'!$A:$E,5,0)=0, "",VLOOKUP(A562,'Aux - pivots1'!$A:$E,5,0))</f>
        <v/>
      </c>
      <c r="M571" s="205">
        <v>45593</v>
      </c>
      <c r="N571" s="205"/>
      <c r="O571" s="337" t="s">
        <v>26</v>
      </c>
    </row>
    <row r="572" spans="1:17" ht="16.2" customHeight="1">
      <c r="A572" s="29" t="str">
        <f t="shared" si="8"/>
        <v>lt827_mthd_usd_instrmntmthd_usd_instrmnt_scp_3</v>
      </c>
      <c r="B572" s="141" t="s">
        <v>26</v>
      </c>
      <c r="C572" s="137" t="s">
        <v>26</v>
      </c>
      <c r="D572" s="133" t="s">
        <v>40</v>
      </c>
      <c r="E572" s="136" t="s">
        <v>1888</v>
      </c>
      <c r="F572" s="136" t="s">
        <v>387</v>
      </c>
      <c r="G572" s="135" t="str">
        <f>VLOOKUP(A572,Plano_V3!$A$26:$G$753,7,0)</f>
        <v>1. Concluído</v>
      </c>
      <c r="H572" s="135" t="s">
        <v>612</v>
      </c>
      <c r="I572" s="142"/>
      <c r="J572" s="152" t="str">
        <f>IF(VLOOKUP(A563,'Aux - pivots1'!$A:$E,3,0)=0, "",VLOOKUP(A563,'Aux - pivots1'!$A:$E,3,0))</f>
        <v/>
      </c>
      <c r="K572" s="152" t="str">
        <f>IF(VLOOKUP(A563,'Aux - pivots1'!$A:$E,4,0)=0, "",VLOOKUP(A563,'Aux - pivots1'!$A:$E,4,0))</f>
        <v/>
      </c>
      <c r="L572" s="152" t="str">
        <f>IF(VLOOKUP(A563,'Aux - pivots1'!$A:$E,5,0)=0, "",VLOOKUP(A563,'Aux - pivots1'!$A:$E,5,0))</f>
        <v/>
      </c>
      <c r="M572" s="205">
        <v>45593</v>
      </c>
      <c r="N572" s="205"/>
      <c r="O572" s="337" t="s">
        <v>26</v>
      </c>
    </row>
    <row r="573" spans="1:17" ht="16.2" customHeight="1">
      <c r="A573" s="29" t="str">
        <f t="shared" si="8"/>
        <v>lt827_mthd_usd_instrmntpurpose_code</v>
      </c>
      <c r="B573" s="141" t="s">
        <v>26</v>
      </c>
      <c r="C573" s="137" t="s">
        <v>26</v>
      </c>
      <c r="D573" s="133" t="s">
        <v>40</v>
      </c>
      <c r="E573" s="136" t="s">
        <v>1888</v>
      </c>
      <c r="F573" s="136" t="s">
        <v>1874</v>
      </c>
      <c r="G573" s="135" t="str">
        <f>VLOOKUP(A573,Plano_V3!$A$26:$G$753,7,0)</f>
        <v>1. Concluído</v>
      </c>
      <c r="H573" s="135" t="s">
        <v>612</v>
      </c>
      <c r="I573" s="142"/>
      <c r="J573" s="152" t="str">
        <f>IF(VLOOKUP(A564,'Aux - pivots1'!$A:$E,3,0)=0, "",VLOOKUP(A564,'Aux - pivots1'!$A:$E,3,0))</f>
        <v/>
      </c>
      <c r="K573" s="152" t="str">
        <f>IF(VLOOKUP(A564,'Aux - pivots1'!$A:$E,4,0)=0, "",VLOOKUP(A564,'Aux - pivots1'!$A:$E,4,0))</f>
        <v/>
      </c>
      <c r="L573" s="152" t="str">
        <f>IF(VLOOKUP(A564,'Aux - pivots1'!$A:$E,5,0)=0, "",VLOOKUP(A564,'Aux - pivots1'!$A:$E,5,0))</f>
        <v/>
      </c>
      <c r="M573" s="205"/>
      <c r="N573" s="205"/>
      <c r="O573" s="337" t="s">
        <v>26</v>
      </c>
    </row>
    <row r="574" spans="1:17" ht="16.2" customHeight="1">
      <c r="A574" s="29" t="str">
        <f t="shared" si="8"/>
        <v>lt827_mthd_usd_instrmntflg_fin</v>
      </c>
      <c r="B574" s="141" t="s">
        <v>26</v>
      </c>
      <c r="C574" s="137" t="s">
        <v>26</v>
      </c>
      <c r="D574" s="133" t="s">
        <v>40</v>
      </c>
      <c r="E574" s="136" t="s">
        <v>1888</v>
      </c>
      <c r="F574" s="136" t="s">
        <v>480</v>
      </c>
      <c r="G574" s="135" t="str">
        <f>VLOOKUP(A574,Plano_V3!$A$26:$G$753,7,0)</f>
        <v>1. Concluído</v>
      </c>
      <c r="H574" s="135" t="s">
        <v>612</v>
      </c>
      <c r="I574" s="142"/>
      <c r="J574" s="152" t="str">
        <f>IF(VLOOKUP(A565,'Aux - pivots1'!$A:$E,3,0)=0, "",VLOOKUP(A565,'Aux - pivots1'!$A:$E,3,0))</f>
        <v/>
      </c>
      <c r="K574" s="152" t="str">
        <f>IF(VLOOKUP(A565,'Aux - pivots1'!$A:$E,4,0)=0, "",VLOOKUP(A565,'Aux - pivots1'!$A:$E,4,0))</f>
        <v/>
      </c>
      <c r="L574" s="152" t="str">
        <f>IF(VLOOKUP(A565,'Aux - pivots1'!$A:$E,5,0)=0, "",VLOOKUP(A565,'Aux - pivots1'!$A:$E,5,0))</f>
        <v/>
      </c>
      <c r="M574" s="205"/>
      <c r="N574" s="205"/>
      <c r="O574" s="337" t="s">
        <v>26</v>
      </c>
    </row>
    <row r="575" spans="1:17" ht="16.2" customHeight="1">
      <c r="A575" s="29" t="str">
        <f t="shared" si="8"/>
        <v>lt827_mthd_usd_instrmntflg_exec</v>
      </c>
      <c r="B575" s="141" t="s">
        <v>26</v>
      </c>
      <c r="C575" s="137" t="s">
        <v>26</v>
      </c>
      <c r="D575" s="133" t="s">
        <v>40</v>
      </c>
      <c r="E575" s="136" t="s">
        <v>1888</v>
      </c>
      <c r="F575" s="136" t="s">
        <v>1296</v>
      </c>
      <c r="G575" s="135" t="str">
        <f>VLOOKUP(A575,Plano_V3!$A$26:$G$753,7,0)</f>
        <v>1. Concluído</v>
      </c>
      <c r="H575" s="135" t="s">
        <v>612</v>
      </c>
      <c r="I575" s="142"/>
      <c r="J575" s="152" t="str">
        <f>IF(VLOOKUP(A566,'Aux - pivots1'!$A:$E,3,0)=0, "",VLOOKUP(A566,'Aux - pivots1'!$A:$E,3,0))</f>
        <v/>
      </c>
      <c r="K575" s="152" t="str">
        <f>IF(VLOOKUP(A566,'Aux - pivots1'!$A:$E,4,0)=0, "",VLOOKUP(A566,'Aux - pivots1'!$A:$E,4,0))</f>
        <v/>
      </c>
      <c r="L575" s="152" t="str">
        <f>IF(VLOOKUP(A566,'Aux - pivots1'!$A:$E,5,0)=0, "",VLOOKUP(A566,'Aux - pivots1'!$A:$E,5,0))</f>
        <v/>
      </c>
      <c r="M575" s="205"/>
      <c r="N575" s="205"/>
      <c r="O575" s="337" t="s">
        <v>26</v>
      </c>
    </row>
    <row r="576" spans="1:17" ht="16.2" customHeight="1">
      <c r="A576" s="29" t="str">
        <f t="shared" si="8"/>
        <v>lt827_mthd_usd_instrmntflg_col</v>
      </c>
      <c r="B576" s="141" t="s">
        <v>26</v>
      </c>
      <c r="C576" s="137" t="s">
        <v>26</v>
      </c>
      <c r="D576" s="133" t="s">
        <v>40</v>
      </c>
      <c r="E576" s="136" t="s">
        <v>1888</v>
      </c>
      <c r="F576" s="136" t="s">
        <v>479</v>
      </c>
      <c r="G576" s="135" t="str">
        <f>VLOOKUP(A576,Plano_V3!$A$26:$G$753,7,0)</f>
        <v>1. Concluído</v>
      </c>
      <c r="H576" s="135" t="s">
        <v>612</v>
      </c>
      <c r="I576" s="142"/>
      <c r="J576" s="152" t="str">
        <f>IF(VLOOKUP(A567,'Aux - pivots1'!$A:$E,3,0)=0, "",VLOOKUP(A567,'Aux - pivots1'!$A:$E,3,0))</f>
        <v/>
      </c>
      <c r="K576" s="152" t="str">
        <f>IF(VLOOKUP(A567,'Aux - pivots1'!$A:$E,4,0)=0, "",VLOOKUP(A567,'Aux - pivots1'!$A:$E,4,0))</f>
        <v/>
      </c>
      <c r="L576" s="152" t="str">
        <f>IF(VLOOKUP(A567,'Aux - pivots1'!$A:$E,5,0)=0, "",VLOOKUP(A567,'Aux - pivots1'!$A:$E,5,0))</f>
        <v/>
      </c>
      <c r="M576" s="205"/>
      <c r="N576" s="205"/>
      <c r="O576" s="337" t="s">
        <v>26</v>
      </c>
    </row>
    <row r="577" spans="1:15" ht="16.2" customHeight="1">
      <c r="A577" s="29" t="str">
        <f t="shared" si="8"/>
        <v>lt827_mthd_usd_instrmntflg_pro</v>
      </c>
      <c r="B577" s="141" t="s">
        <v>26</v>
      </c>
      <c r="C577" s="137" t="s">
        <v>26</v>
      </c>
      <c r="D577" s="133" t="s">
        <v>40</v>
      </c>
      <c r="E577" s="136" t="s">
        <v>1888</v>
      </c>
      <c r="F577" s="136" t="s">
        <v>481</v>
      </c>
      <c r="G577" s="135" t="str">
        <f>VLOOKUP(A577,Plano_V3!$A$26:$G$753,7,0)</f>
        <v>1. Concluído</v>
      </c>
      <c r="H577" s="135" t="s">
        <v>612</v>
      </c>
      <c r="I577" s="142"/>
      <c r="J577" s="152" t="str">
        <f>IF(VLOOKUP(A568,'Aux - pivots1'!$A:$E,3,0)=0, "",VLOOKUP(A568,'Aux - pivots1'!$A:$E,3,0))</f>
        <v/>
      </c>
      <c r="K577" s="152" t="str">
        <f>IF(VLOOKUP(A568,'Aux - pivots1'!$A:$E,4,0)=0, "",VLOOKUP(A568,'Aux - pivots1'!$A:$E,4,0))</f>
        <v/>
      </c>
      <c r="L577" s="152" t="str">
        <f>IF(VLOOKUP(A568,'Aux - pivots1'!$A:$E,5,0)=0, "",VLOOKUP(A568,'Aux - pivots1'!$A:$E,5,0))</f>
        <v/>
      </c>
      <c r="M577" s="205"/>
      <c r="N577" s="205"/>
      <c r="O577" s="337" t="s">
        <v>26</v>
      </c>
    </row>
    <row r="578" spans="1:15" ht="16.2"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52" t="str">
        <f>IF(VLOOKUP(A569,'Aux - pivots1'!$A:$E,3,0)=0, "",VLOOKUP(A569,'Aux - pivots1'!$A:$E,3,0))</f>
        <v/>
      </c>
      <c r="K578" s="152" t="str">
        <f>IF(VLOOKUP(A569,'Aux - pivots1'!$A:$E,4,0)=0, "",VLOOKUP(A569,'Aux - pivots1'!$A:$E,4,0))</f>
        <v/>
      </c>
      <c r="L578" s="152" t="str">
        <f>IF(VLOOKUP(A569,'Aux - pivots1'!$A:$E,5,0)=0, "",VLOOKUP(A569,'Aux - pivots1'!$A:$E,5,0))</f>
        <v/>
      </c>
      <c r="M578" s="205"/>
      <c r="N578" s="205"/>
      <c r="O578" s="337" t="s">
        <v>26</v>
      </c>
    </row>
    <row r="579" spans="1:15" ht="16.2"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52" t="str">
        <f>IF(VLOOKUP(A570,'Aux - pivots1'!$A:$E,3,0)=0, "",VLOOKUP(A570,'Aux - pivots1'!$A:$E,3,0))</f>
        <v/>
      </c>
      <c r="K579" s="152" t="str">
        <f>IF(VLOOKUP(A570,'Aux - pivots1'!$A:$E,4,0)=0, "",VLOOKUP(A570,'Aux - pivots1'!$A:$E,4,0))</f>
        <v/>
      </c>
      <c r="L579" s="152" t="str">
        <f>IF(VLOOKUP(A570,'Aux - pivots1'!$A:$E,5,0)=0, "",VLOOKUP(A570,'Aux - pivots1'!$A:$E,5,0))</f>
        <v/>
      </c>
      <c r="M579" s="205"/>
      <c r="N579" s="205"/>
      <c r="O579" s="337" t="s">
        <v>26</v>
      </c>
    </row>
    <row r="580" spans="1:15" ht="16.2"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52" t="str">
        <f>IF(VLOOKUP(A571,'Aux - pivots1'!$A:$E,3,0)=0, "",VLOOKUP(A571,'Aux - pivots1'!$A:$E,3,0))</f>
        <v/>
      </c>
      <c r="K580" s="152" t="str">
        <f>IF(VLOOKUP(A571,'Aux - pivots1'!$A:$E,4,0)=0, "",VLOOKUP(A571,'Aux - pivots1'!$A:$E,4,0))</f>
        <v/>
      </c>
      <c r="L580" s="152" t="str">
        <f>IF(VLOOKUP(A571,'Aux - pivots1'!$A:$E,5,0)=0, "",VLOOKUP(A571,'Aux - pivots1'!$A:$E,5,0))</f>
        <v/>
      </c>
      <c r="M580" s="205"/>
      <c r="N580" s="205"/>
      <c r="O580" s="337" t="s">
        <v>26</v>
      </c>
    </row>
    <row r="581" spans="1:15" ht="16.2"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52" t="str">
        <f>IF(VLOOKUP(A572,'Aux - pivots1'!$A:$E,3,0)=0, "",VLOOKUP(A572,'Aux - pivots1'!$A:$E,3,0))</f>
        <v/>
      </c>
      <c r="K581" s="152" t="str">
        <f>IF(VLOOKUP(A572,'Aux - pivots1'!$A:$E,4,0)=0, "",VLOOKUP(A572,'Aux - pivots1'!$A:$E,4,0))</f>
        <v/>
      </c>
      <c r="L581" s="152" t="str">
        <f>IF(VLOOKUP(A572,'Aux - pivots1'!$A:$E,5,0)=0, "",VLOOKUP(A572,'Aux - pivots1'!$A:$E,5,0))</f>
        <v/>
      </c>
      <c r="M581" s="205"/>
      <c r="N581" s="205"/>
      <c r="O581" s="337" t="s">
        <v>26</v>
      </c>
    </row>
    <row r="582" spans="1:15" ht="16.2"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52" t="str">
        <f>IF(VLOOKUP(A573,'Aux - pivots1'!$A:$E,3,0)=0, "",VLOOKUP(A573,'Aux - pivots1'!$A:$E,3,0))</f>
        <v/>
      </c>
      <c r="K582" s="152" t="str">
        <f>IF(VLOOKUP(A573,'Aux - pivots1'!$A:$E,4,0)=0, "",VLOOKUP(A573,'Aux - pivots1'!$A:$E,4,0))</f>
        <v/>
      </c>
      <c r="L582" s="152" t="str">
        <f>IF(VLOOKUP(A573,'Aux - pivots1'!$A:$E,5,0)=0, "",VLOOKUP(A573,'Aux - pivots1'!$A:$E,5,0))</f>
        <v/>
      </c>
      <c r="M582" s="205"/>
      <c r="N582" s="205"/>
      <c r="O582" s="337" t="s">
        <v>26</v>
      </c>
    </row>
    <row r="583" spans="1:15" ht="16.2"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52" t="str">
        <f>IF(VLOOKUP(A574,'Aux - pivots1'!$A:$E,3,0)=0, "",VLOOKUP(A574,'Aux - pivots1'!$A:$E,3,0))</f>
        <v/>
      </c>
      <c r="K583" s="152" t="str">
        <f>IF(VLOOKUP(A574,'Aux - pivots1'!$A:$E,4,0)=0, "",VLOOKUP(A574,'Aux - pivots1'!$A:$E,4,0))</f>
        <v/>
      </c>
      <c r="L583" s="152" t="str">
        <f>IF(VLOOKUP(A574,'Aux - pivots1'!$A:$E,5,0)=0, "",VLOOKUP(A574,'Aux - pivots1'!$A:$E,5,0))</f>
        <v/>
      </c>
      <c r="M583" s="205"/>
      <c r="N583" s="205"/>
      <c r="O583" s="337" t="s">
        <v>26</v>
      </c>
    </row>
    <row r="584" spans="1:15" ht="16.2"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52" t="str">
        <f>IF(VLOOKUP(A575,'Aux - pivots1'!$A:$E,3,0)=0, "",VLOOKUP(A575,'Aux - pivots1'!$A:$E,3,0))</f>
        <v/>
      </c>
      <c r="K584" s="152" t="str">
        <f>IF(VLOOKUP(A575,'Aux - pivots1'!$A:$E,4,0)=0, "",VLOOKUP(A575,'Aux - pivots1'!$A:$E,4,0))</f>
        <v/>
      </c>
      <c r="L584" s="152" t="str">
        <f>IF(VLOOKUP(A575,'Aux - pivots1'!$A:$E,5,0)=0, "",VLOOKUP(A575,'Aux - pivots1'!$A:$E,5,0))</f>
        <v/>
      </c>
      <c r="M584" s="205"/>
      <c r="N584" s="205"/>
      <c r="O584" s="337" t="s">
        <v>26</v>
      </c>
    </row>
    <row r="585" spans="1:15" ht="16.2"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52" t="str">
        <f>IF(VLOOKUP(A576,'Aux - pivots1'!$A:$E,3,0)=0, "",VLOOKUP(A576,'Aux - pivots1'!$A:$E,3,0))</f>
        <v/>
      </c>
      <c r="K585" s="152" t="str">
        <f>IF(VLOOKUP(A576,'Aux - pivots1'!$A:$E,4,0)=0, "",VLOOKUP(A576,'Aux - pivots1'!$A:$E,4,0))</f>
        <v/>
      </c>
      <c r="L585" s="152" t="str">
        <f>IF(VLOOKUP(A576,'Aux - pivots1'!$A:$E,5,0)=0, "",VLOOKUP(A576,'Aux - pivots1'!$A:$E,5,0))</f>
        <v/>
      </c>
      <c r="M585" s="205"/>
      <c r="N585" s="205"/>
      <c r="O585" s="337" t="s">
        <v>26</v>
      </c>
    </row>
    <row r="586" spans="1:15" ht="16.2"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52" t="str">
        <f>IF(VLOOKUP(A577,'Aux - pivots1'!$A:$E,3,0)=0, "",VLOOKUP(A577,'Aux - pivots1'!$A:$E,3,0))</f>
        <v/>
      </c>
      <c r="K586" s="152" t="str">
        <f>IF(VLOOKUP(A577,'Aux - pivots1'!$A:$E,4,0)=0, "",VLOOKUP(A577,'Aux - pivots1'!$A:$E,4,0))</f>
        <v/>
      </c>
      <c r="L586" s="152" t="str">
        <f>IF(VLOOKUP(A577,'Aux - pivots1'!$A:$E,5,0)=0, "",VLOOKUP(A577,'Aux - pivots1'!$A:$E,5,0))</f>
        <v/>
      </c>
      <c r="M586" s="205"/>
      <c r="N586" s="205"/>
      <c r="O586" s="337" t="s">
        <v>26</v>
      </c>
    </row>
    <row r="587" spans="1:15" ht="16.2"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t="s">
        <v>657</v>
      </c>
      <c r="J587" s="152" t="str">
        <f>IF(VLOOKUP(A578,'Aux - pivots1'!$A:$E,3,0)=0, "",VLOOKUP(A578,'Aux - pivots1'!$A:$E,3,0))</f>
        <v/>
      </c>
      <c r="K587" s="152" t="str">
        <f>IF(VLOOKUP(A578,'Aux - pivots1'!$A:$E,4,0)=0, "",VLOOKUP(A578,'Aux - pivots1'!$A:$E,4,0))</f>
        <v/>
      </c>
      <c r="L587" s="152" t="str">
        <f>IF(VLOOKUP(A578,'Aux - pivots1'!$A:$E,5,0)=0, "",VLOOKUP(A578,'Aux - pivots1'!$A:$E,5,0))</f>
        <v/>
      </c>
      <c r="M587" s="205"/>
      <c r="N587" s="205"/>
      <c r="O587" s="337" t="s">
        <v>26</v>
      </c>
    </row>
    <row r="588" spans="1:15" ht="16.2"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t="s">
        <v>657</v>
      </c>
      <c r="J588" s="152" t="str">
        <f>IF(VLOOKUP(A579,'Aux - pivots1'!$A:$E,3,0)=0, "",VLOOKUP(A579,'Aux - pivots1'!$A:$E,3,0))</f>
        <v/>
      </c>
      <c r="K588" s="152" t="str">
        <f>IF(VLOOKUP(A579,'Aux - pivots1'!$A:$E,4,0)=0, "",VLOOKUP(A579,'Aux - pivots1'!$A:$E,4,0))</f>
        <v/>
      </c>
      <c r="L588" s="152" t="str">
        <f>IF(VLOOKUP(A579,'Aux - pivots1'!$A:$E,5,0)=0, "",VLOOKUP(A579,'Aux - pivots1'!$A:$E,5,0))</f>
        <v/>
      </c>
      <c r="M588" s="205"/>
      <c r="N588" s="205"/>
      <c r="O588" s="337" t="s">
        <v>26</v>
      </c>
    </row>
    <row r="589" spans="1:15" ht="16.2"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t="s">
        <v>657</v>
      </c>
      <c r="J589" s="152" t="str">
        <f>IF(VLOOKUP(A580,'Aux - pivots1'!$A:$E,3,0)=0, "",VLOOKUP(A580,'Aux - pivots1'!$A:$E,3,0))</f>
        <v/>
      </c>
      <c r="K589" s="152" t="str">
        <f>IF(VLOOKUP(A580,'Aux - pivots1'!$A:$E,4,0)=0, "",VLOOKUP(A580,'Aux - pivots1'!$A:$E,4,0))</f>
        <v/>
      </c>
      <c r="L589" s="152" t="str">
        <f>IF(VLOOKUP(A580,'Aux - pivots1'!$A:$E,5,0)=0, "",VLOOKUP(A580,'Aux - pivots1'!$A:$E,5,0))</f>
        <v/>
      </c>
      <c r="M589" s="205"/>
      <c r="N589" s="205"/>
      <c r="O589" s="337" t="s">
        <v>26</v>
      </c>
    </row>
    <row r="590" spans="1:15" ht="16.2"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t="s">
        <v>657</v>
      </c>
      <c r="J590" s="152" t="str">
        <f>IF(VLOOKUP(A581,'Aux - pivots1'!$A:$E,3,0)=0, "",VLOOKUP(A581,'Aux - pivots1'!$A:$E,3,0))</f>
        <v/>
      </c>
      <c r="K590" s="152" t="str">
        <f>IF(VLOOKUP(A581,'Aux - pivots1'!$A:$E,4,0)=0, "",VLOOKUP(A581,'Aux - pivots1'!$A:$E,4,0))</f>
        <v/>
      </c>
      <c r="L590" s="152" t="str">
        <f>IF(VLOOKUP(A581,'Aux - pivots1'!$A:$E,5,0)=0, "",VLOOKUP(A581,'Aux - pivots1'!$A:$E,5,0))</f>
        <v/>
      </c>
      <c r="M590" s="205"/>
      <c r="N590" s="205"/>
      <c r="O590" s="337" t="s">
        <v>26</v>
      </c>
    </row>
    <row r="591" spans="1:15" ht="16.2"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t="s">
        <v>657</v>
      </c>
      <c r="J591" s="152" t="str">
        <f>IF(VLOOKUP(A582,'Aux - pivots1'!$A:$E,3,0)=0, "",VLOOKUP(A582,'Aux - pivots1'!$A:$E,3,0))</f>
        <v/>
      </c>
      <c r="K591" s="152" t="str">
        <f>IF(VLOOKUP(A582,'Aux - pivots1'!$A:$E,4,0)=0, "",VLOOKUP(A582,'Aux - pivots1'!$A:$E,4,0))</f>
        <v/>
      </c>
      <c r="L591" s="152" t="str">
        <f>IF(VLOOKUP(A582,'Aux - pivots1'!$A:$E,5,0)=0, "",VLOOKUP(A582,'Aux - pivots1'!$A:$E,5,0))</f>
        <v/>
      </c>
      <c r="M591" s="205"/>
      <c r="N591" s="205"/>
      <c r="O591" s="337" t="s">
        <v>26</v>
      </c>
    </row>
    <row r="592" spans="1:15" ht="16.2"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t="s">
        <v>657</v>
      </c>
      <c r="J592" s="152" t="str">
        <f>IF(VLOOKUP(A583,'Aux - pivots1'!$A:$E,3,0)=0, "",VLOOKUP(A583,'Aux - pivots1'!$A:$E,3,0))</f>
        <v/>
      </c>
      <c r="K592" s="152" t="str">
        <f>IF(VLOOKUP(A583,'Aux - pivots1'!$A:$E,4,0)=0, "",VLOOKUP(A583,'Aux - pivots1'!$A:$E,4,0))</f>
        <v/>
      </c>
      <c r="L592" s="152" t="str">
        <f>IF(VLOOKUP(A583,'Aux - pivots1'!$A:$E,5,0)=0, "",VLOOKUP(A583,'Aux - pivots1'!$A:$E,5,0))</f>
        <v/>
      </c>
      <c r="M592" s="205"/>
      <c r="N592" s="205"/>
      <c r="O592" s="337" t="s">
        <v>26</v>
      </c>
    </row>
    <row r="593" spans="1:17" ht="16.2"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t="s">
        <v>657</v>
      </c>
      <c r="J593" s="152" t="str">
        <f>IF(VLOOKUP(A584,'Aux - pivots1'!$A:$E,3,0)=0, "",VLOOKUP(A584,'Aux - pivots1'!$A:$E,3,0))</f>
        <v/>
      </c>
      <c r="K593" s="152" t="str">
        <f>IF(VLOOKUP(A584,'Aux - pivots1'!$A:$E,4,0)=0, "",VLOOKUP(A584,'Aux - pivots1'!$A:$E,4,0))</f>
        <v/>
      </c>
      <c r="L593" s="152" t="str">
        <f>IF(VLOOKUP(A584,'Aux - pivots1'!$A:$E,5,0)=0, "",VLOOKUP(A584,'Aux - pivots1'!$A:$E,5,0))</f>
        <v/>
      </c>
      <c r="M593" s="205"/>
      <c r="N593" s="205"/>
      <c r="O593" s="337" t="s">
        <v>26</v>
      </c>
    </row>
    <row r="594" spans="1:17" ht="16.2"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t="s">
        <v>657</v>
      </c>
      <c r="J594" s="152" t="str">
        <f>IF(VLOOKUP(A585,'Aux - pivots1'!$A:$E,3,0)=0, "",VLOOKUP(A585,'Aux - pivots1'!$A:$E,3,0))</f>
        <v/>
      </c>
      <c r="K594" s="152" t="str">
        <f>IF(VLOOKUP(A585,'Aux - pivots1'!$A:$E,4,0)=0, "",VLOOKUP(A585,'Aux - pivots1'!$A:$E,4,0))</f>
        <v/>
      </c>
      <c r="L594" s="152" t="str">
        <f>IF(VLOOKUP(A585,'Aux - pivots1'!$A:$E,5,0)=0, "",VLOOKUP(A585,'Aux - pivots1'!$A:$E,5,0))</f>
        <v/>
      </c>
      <c r="M594" s="205"/>
      <c r="N594" s="205"/>
      <c r="O594" s="337" t="s">
        <v>26</v>
      </c>
    </row>
    <row r="595" spans="1:17" ht="16.2"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t="s">
        <v>657</v>
      </c>
      <c r="J595" s="152" t="str">
        <f>IF(VLOOKUP(A586,'Aux - pivots1'!$A:$E,3,0)=0, "",VLOOKUP(A586,'Aux - pivots1'!$A:$E,3,0))</f>
        <v/>
      </c>
      <c r="K595" s="152" t="str">
        <f>IF(VLOOKUP(A586,'Aux - pivots1'!$A:$E,4,0)=0, "",VLOOKUP(A586,'Aux - pivots1'!$A:$E,4,0))</f>
        <v/>
      </c>
      <c r="L595" s="152" t="str">
        <f>IF(VLOOKUP(A586,'Aux - pivots1'!$A:$E,5,0)=0, "",VLOOKUP(A586,'Aux - pivots1'!$A:$E,5,0))</f>
        <v/>
      </c>
      <c r="M595" s="205"/>
      <c r="N595" s="205"/>
      <c r="O595" s="337" t="s">
        <v>26</v>
      </c>
    </row>
    <row r="596" spans="1:17" ht="16.2"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t="s">
        <v>657</v>
      </c>
      <c r="J596" s="152" t="str">
        <f>IF(VLOOKUP(A587,'Aux - pivots1'!$A:$E,3,0)=0, "",VLOOKUP(A587,'Aux - pivots1'!$A:$E,3,0))</f>
        <v/>
      </c>
      <c r="K596" s="152" t="str">
        <f>IF(VLOOKUP(A587,'Aux - pivots1'!$A:$E,4,0)=0, "",VLOOKUP(A587,'Aux - pivots1'!$A:$E,4,0))</f>
        <v/>
      </c>
      <c r="L596" s="152" t="str">
        <f>IF(VLOOKUP(A587,'Aux - pivots1'!$A:$E,5,0)=0, "",VLOOKUP(A587,'Aux - pivots1'!$A:$E,5,0))</f>
        <v/>
      </c>
      <c r="M596" s="205"/>
      <c r="N596" s="205"/>
      <c r="O596" s="337" t="s">
        <v>26</v>
      </c>
    </row>
    <row r="597" spans="1:17" ht="16.2"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t="s">
        <v>657</v>
      </c>
      <c r="J597" s="152" t="str">
        <f>IF(VLOOKUP(A588,'Aux - pivots1'!$A:$E,3,0)=0, "",VLOOKUP(A588,'Aux - pivots1'!$A:$E,3,0))</f>
        <v/>
      </c>
      <c r="K597" s="152" t="str">
        <f>IF(VLOOKUP(A588,'Aux - pivots1'!$A:$E,4,0)=0, "",VLOOKUP(A588,'Aux - pivots1'!$A:$E,4,0))</f>
        <v/>
      </c>
      <c r="L597" s="152" t="str">
        <f>IF(VLOOKUP(A588,'Aux - pivots1'!$A:$E,5,0)=0, "",VLOOKUP(A588,'Aux - pivots1'!$A:$E,5,0))</f>
        <v/>
      </c>
      <c r="M597" s="205"/>
      <c r="N597" s="205"/>
      <c r="O597" s="337" t="s">
        <v>26</v>
      </c>
    </row>
    <row r="598" spans="1:17" ht="16.2"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t="s">
        <v>657</v>
      </c>
      <c r="J598" s="152" t="str">
        <f>IF(VLOOKUP(A589,'Aux - pivots1'!$A:$E,3,0)=0, "",VLOOKUP(A589,'Aux - pivots1'!$A:$E,3,0))</f>
        <v/>
      </c>
      <c r="K598" s="152" t="str">
        <f>IF(VLOOKUP(A589,'Aux - pivots1'!$A:$E,4,0)=0, "",VLOOKUP(A589,'Aux - pivots1'!$A:$E,4,0))</f>
        <v/>
      </c>
      <c r="L598" s="152" t="str">
        <f>IF(VLOOKUP(A589,'Aux - pivots1'!$A:$E,5,0)=0, "",VLOOKUP(A589,'Aux - pivots1'!$A:$E,5,0))</f>
        <v/>
      </c>
      <c r="M598" s="205"/>
      <c r="N598" s="205"/>
      <c r="O598" s="337" t="s">
        <v>26</v>
      </c>
    </row>
    <row r="599" spans="1:17" ht="16.2"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t="s">
        <v>657</v>
      </c>
      <c r="J599" s="152" t="str">
        <f>IF(VLOOKUP(A590,'Aux - pivots1'!$A:$E,3,0)=0, "",VLOOKUP(A590,'Aux - pivots1'!$A:$E,3,0))</f>
        <v/>
      </c>
      <c r="K599" s="152" t="str">
        <f>IF(VLOOKUP(A590,'Aux - pivots1'!$A:$E,4,0)=0, "",VLOOKUP(A590,'Aux - pivots1'!$A:$E,4,0))</f>
        <v/>
      </c>
      <c r="L599" s="152" t="str">
        <f>IF(VLOOKUP(A590,'Aux - pivots1'!$A:$E,5,0)=0, "",VLOOKUP(A590,'Aux - pivots1'!$A:$E,5,0))</f>
        <v/>
      </c>
      <c r="M599" s="205"/>
      <c r="N599" s="205"/>
      <c r="O599" s="337" t="s">
        <v>26</v>
      </c>
    </row>
    <row r="600" spans="1:17" ht="16.2"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t="s">
        <v>657</v>
      </c>
      <c r="J600" s="152" t="str">
        <f>IF(VLOOKUP(A591,'Aux - pivots1'!$A:$E,3,0)=0, "",VLOOKUP(A591,'Aux - pivots1'!$A:$E,3,0))</f>
        <v/>
      </c>
      <c r="K600" s="152" t="str">
        <f>IF(VLOOKUP(A591,'Aux - pivots1'!$A:$E,4,0)=0, "",VLOOKUP(A591,'Aux - pivots1'!$A:$E,4,0))</f>
        <v/>
      </c>
      <c r="L600" s="152" t="str">
        <f>IF(VLOOKUP(A591,'Aux - pivots1'!$A:$E,5,0)=0, "",VLOOKUP(A591,'Aux - pivots1'!$A:$E,5,0))</f>
        <v/>
      </c>
      <c r="M600" s="205"/>
      <c r="N600" s="205"/>
      <c r="O600" s="337" t="s">
        <v>26</v>
      </c>
    </row>
    <row r="601" spans="1:17" ht="16.2"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t="s">
        <v>657</v>
      </c>
      <c r="J601" s="152" t="str">
        <f>IF(VLOOKUP(A592,'Aux - pivots1'!$A:$E,3,0)=0, "",VLOOKUP(A592,'Aux - pivots1'!$A:$E,3,0))</f>
        <v/>
      </c>
      <c r="K601" s="152" t="str">
        <f>IF(VLOOKUP(A592,'Aux - pivots1'!$A:$E,4,0)=0, "",VLOOKUP(A592,'Aux - pivots1'!$A:$E,4,0))</f>
        <v/>
      </c>
      <c r="L601" s="152" t="str">
        <f>IF(VLOOKUP(A592,'Aux - pivots1'!$A:$E,5,0)=0, "",VLOOKUP(A592,'Aux - pivots1'!$A:$E,5,0))</f>
        <v/>
      </c>
      <c r="M601" s="205"/>
      <c r="N601" s="205"/>
      <c r="O601" s="337" t="s">
        <v>26</v>
      </c>
    </row>
    <row r="602" spans="1:17" ht="16.2"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t="s">
        <v>657</v>
      </c>
      <c r="J602" s="152" t="str">
        <f>IF(VLOOKUP(A593,'Aux - pivots1'!$A:$E,3,0)=0, "",VLOOKUP(A593,'Aux - pivots1'!$A:$E,3,0))</f>
        <v/>
      </c>
      <c r="K602" s="152" t="str">
        <f>IF(VLOOKUP(A593,'Aux - pivots1'!$A:$E,4,0)=0, "",VLOOKUP(A593,'Aux - pivots1'!$A:$E,4,0))</f>
        <v/>
      </c>
      <c r="L602" s="152" t="str">
        <f>IF(VLOOKUP(A593,'Aux - pivots1'!$A:$E,5,0)=0, "",VLOOKUP(A593,'Aux - pivots1'!$A:$E,5,0))</f>
        <v/>
      </c>
      <c r="M602" s="205"/>
      <c r="N602" s="205"/>
      <c r="O602" s="337" t="s">
        <v>26</v>
      </c>
    </row>
    <row r="603" spans="1:17" ht="16.2"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t="s">
        <v>657</v>
      </c>
      <c r="J603" s="152" t="str">
        <f>IF(VLOOKUP(A594,'Aux - pivots1'!$A:$E,3,0)=0, "",VLOOKUP(A594,'Aux - pivots1'!$A:$E,3,0))</f>
        <v/>
      </c>
      <c r="K603" s="152" t="str">
        <f>IF(VLOOKUP(A594,'Aux - pivots1'!$A:$E,4,0)=0, "",VLOOKUP(A594,'Aux - pivots1'!$A:$E,4,0))</f>
        <v/>
      </c>
      <c r="L603" s="152" t="str">
        <f>IF(VLOOKUP(A594,'Aux - pivots1'!$A:$E,5,0)=0, "",VLOOKUP(A594,'Aux - pivots1'!$A:$E,5,0))</f>
        <v/>
      </c>
      <c r="M603" s="205"/>
      <c r="N603" s="205"/>
      <c r="O603" s="337" t="s">
        <v>26</v>
      </c>
    </row>
    <row r="604" spans="1:17" ht="16.2"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t="s">
        <v>657</v>
      </c>
      <c r="J604" s="152" t="str">
        <f>IF(VLOOKUP(A595,'Aux - pivots1'!$A:$E,3,0)=0, "",VLOOKUP(A595,'Aux - pivots1'!$A:$E,3,0))</f>
        <v/>
      </c>
      <c r="K604" s="152" t="str">
        <f>IF(VLOOKUP(A595,'Aux - pivots1'!$A:$E,4,0)=0, "",VLOOKUP(A595,'Aux - pivots1'!$A:$E,4,0))</f>
        <v/>
      </c>
      <c r="L604" s="152" t="str">
        <f>IF(VLOOKUP(A595,'Aux - pivots1'!$A:$E,5,0)=0, "",VLOOKUP(A595,'Aux - pivots1'!$A:$E,5,0))</f>
        <v/>
      </c>
      <c r="M604" s="205"/>
      <c r="N604" s="205"/>
      <c r="O604" s="337" t="s">
        <v>26</v>
      </c>
    </row>
    <row r="605" spans="1:17" ht="16.2"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t="s">
        <v>657</v>
      </c>
      <c r="J605" s="152" t="str">
        <f>IF(VLOOKUP(A596,'Aux - pivots1'!$A:$E,3,0)=0, "",VLOOKUP(A596,'Aux - pivots1'!$A:$E,3,0))</f>
        <v/>
      </c>
      <c r="K605" s="152" t="str">
        <f>IF(VLOOKUP(A596,'Aux - pivots1'!$A:$E,4,0)=0, "",VLOOKUP(A596,'Aux - pivots1'!$A:$E,4,0))</f>
        <v/>
      </c>
      <c r="L605" s="152" t="str">
        <f>IF(VLOOKUP(A596,'Aux - pivots1'!$A:$E,5,0)=0, "",VLOOKUP(A596,'Aux - pivots1'!$A:$E,5,0))</f>
        <v/>
      </c>
      <c r="M605" s="205"/>
      <c r="N605" s="205"/>
      <c r="O605" s="337" t="s">
        <v>26</v>
      </c>
    </row>
    <row r="606" spans="1:17" ht="16.2" customHeight="1">
      <c r="A606" s="29" t="str">
        <f t="shared" si="8"/>
        <v>lt007_instr_activitysstnbl_indctr</v>
      </c>
      <c r="B606" s="141" t="s">
        <v>26</v>
      </c>
      <c r="C606" s="137" t="s">
        <v>26</v>
      </c>
      <c r="D606" s="133" t="s">
        <v>40</v>
      </c>
      <c r="E606" s="136" t="s">
        <v>1887</v>
      </c>
      <c r="F606" s="136" t="s">
        <v>418</v>
      </c>
      <c r="G606" s="135" t="str">
        <f>VLOOKUP(A606,Plano_V3!$A$26:$G$753,7,0)</f>
        <v>1. Concluído</v>
      </c>
      <c r="H606" s="135" t="s">
        <v>612</v>
      </c>
      <c r="I606" s="142" t="s">
        <v>1869</v>
      </c>
      <c r="J606" s="152" t="str">
        <f>IF(VLOOKUP(A597,'Aux - pivots1'!$A:$E,3,0)=0, "",VLOOKUP(A597,'Aux - pivots1'!$A:$E,3,0))</f>
        <v/>
      </c>
      <c r="K606" s="152" t="str">
        <f>IF(VLOOKUP(A597,'Aux - pivots1'!$A:$E,4,0)=0, "",VLOOKUP(A597,'Aux - pivots1'!$A:$E,4,0))</f>
        <v/>
      </c>
      <c r="L606" s="152" t="str">
        <f>IF(VLOOKUP(A597,'Aux - pivots1'!$A:$E,5,0)=0, "",VLOOKUP(A597,'Aux - pivots1'!$A:$E,5,0))</f>
        <v/>
      </c>
      <c r="M606" s="205">
        <v>45593</v>
      </c>
      <c r="N606" s="205"/>
      <c r="O606" s="337" t="s">
        <v>26</v>
      </c>
      <c r="Q606" s="268" t="s">
        <v>2375</v>
      </c>
    </row>
    <row r="607" spans="1:17" ht="16.2" customHeight="1">
      <c r="A607" s="29" t="str">
        <f t="shared" ref="A607:A613" si="9">E607&amp;F607</f>
        <v>lt007_instr_activityCOD_SOC</v>
      </c>
      <c r="B607" s="141" t="s">
        <v>26</v>
      </c>
      <c r="C607" s="137" t="s">
        <v>26</v>
      </c>
      <c r="D607" s="133" t="s">
        <v>40</v>
      </c>
      <c r="E607" s="136" t="s">
        <v>1887</v>
      </c>
      <c r="F607" s="428" t="s">
        <v>1315</v>
      </c>
      <c r="G607" s="135" t="str">
        <f>VLOOKUP(A607,Plano_V3!$A$26:$G$753,7,0)</f>
        <v>7. Por iniciar</v>
      </c>
      <c r="H607" s="135"/>
      <c r="I607" s="480" t="s">
        <v>2305</v>
      </c>
      <c r="J607" s="152" t="str">
        <f>IF(VLOOKUP(A607,'Aux - pivots1'!$A:$E,3,0)=0, "",VLOOKUP(A607,'Aux - pivots1'!$A:$E,3,0))</f>
        <v/>
      </c>
      <c r="K607" s="152" t="str">
        <f>IF(VLOOKUP(A607,'Aux - pivots1'!$A:$E,4,0)=0, "",VLOOKUP(A607,'Aux - pivots1'!$A:$E,4,0))</f>
        <v/>
      </c>
      <c r="L607" s="152" t="str">
        <f>IF(VLOOKUP(A607,'Aux - pivots1'!$A:$E,5,0)=0, "",VLOOKUP(A607,'Aux - pivots1'!$A:$E,5,0))</f>
        <v/>
      </c>
      <c r="M607" s="205"/>
      <c r="N607" s="205"/>
      <c r="O607" s="337"/>
      <c r="Q607" s="268" t="s">
        <v>2375</v>
      </c>
    </row>
    <row r="608" spans="1:17" ht="16.2" customHeight="1">
      <c r="A608" s="29" t="str">
        <f t="shared" si="9"/>
        <v>lt007_instr_activityDT_RFRNC</v>
      </c>
      <c r="B608" s="141" t="s">
        <v>26</v>
      </c>
      <c r="C608" s="137" t="s">
        <v>26</v>
      </c>
      <c r="D608" s="133" t="s">
        <v>40</v>
      </c>
      <c r="E608" s="136" t="s">
        <v>1887</v>
      </c>
      <c r="F608" s="428" t="s">
        <v>1320</v>
      </c>
      <c r="G608" s="135" t="str">
        <f>VLOOKUP(A608,Plano_V3!$A$26:$G$753,7,0)</f>
        <v>7. Por iniciar</v>
      </c>
      <c r="H608" s="135"/>
      <c r="I608" s="480" t="s">
        <v>2304</v>
      </c>
      <c r="J608" s="152" t="str">
        <f>IF(VLOOKUP(A608,'Aux - pivots1'!$A:$E,3,0)=0, "",VLOOKUP(A608,'Aux - pivots1'!$A:$E,3,0))</f>
        <v/>
      </c>
      <c r="K608" s="152" t="str">
        <f>IF(VLOOKUP(A608,'Aux - pivots1'!$A:$E,4,0)=0, "",VLOOKUP(A608,'Aux - pivots1'!$A:$E,4,0))</f>
        <v/>
      </c>
      <c r="L608" s="152" t="str">
        <f>IF(VLOOKUP(A608,'Aux - pivots1'!$A:$E,5,0)=0, "",VLOOKUP(A608,'Aux - pivots1'!$A:$E,5,0))</f>
        <v/>
      </c>
      <c r="M608" s="205"/>
      <c r="N608" s="205"/>
      <c r="O608" s="337"/>
      <c r="Q608" s="268" t="s">
        <v>2375</v>
      </c>
    </row>
    <row r="609" spans="1:17" ht="16.2" customHeight="1">
      <c r="A609" s="29" t="str">
        <f t="shared" si="9"/>
        <v>lt007_instr_activityINSTRMNT_ID</v>
      </c>
      <c r="B609" s="141" t="s">
        <v>26</v>
      </c>
      <c r="C609" s="137" t="s">
        <v>26</v>
      </c>
      <c r="D609" s="133" t="s">
        <v>40</v>
      </c>
      <c r="E609" s="136" t="s">
        <v>1887</v>
      </c>
      <c r="F609" s="428" t="s">
        <v>1329</v>
      </c>
      <c r="G609" s="135" t="str">
        <f>VLOOKUP(A609,Plano_V3!$A$26:$G$753,7,0)</f>
        <v>7. Por iniciar</v>
      </c>
      <c r="H609" s="135"/>
      <c r="I609" s="480" t="s">
        <v>2305</v>
      </c>
      <c r="J609" s="152" t="str">
        <f>IF(VLOOKUP(A609,'Aux - pivots1'!$A:$E,3,0)=0, "",VLOOKUP(A609,'Aux - pivots1'!$A:$E,3,0))</f>
        <v/>
      </c>
      <c r="K609" s="152" t="str">
        <f>IF(VLOOKUP(A609,'Aux - pivots1'!$A:$E,4,0)=0, "",VLOOKUP(A609,'Aux - pivots1'!$A:$E,4,0))</f>
        <v/>
      </c>
      <c r="L609" s="152" t="str">
        <f>IF(VLOOKUP(A609,'Aux - pivots1'!$A:$E,5,0)=0, "",VLOOKUP(A609,'Aux - pivots1'!$A:$E,5,0))</f>
        <v/>
      </c>
      <c r="M609" s="205"/>
      <c r="N609" s="205"/>
      <c r="O609" s="337"/>
      <c r="Q609" s="268" t="s">
        <v>2375</v>
      </c>
    </row>
    <row r="610" spans="1:17" ht="16.2" customHeight="1">
      <c r="A610" s="29" t="str">
        <f t="shared" si="9"/>
        <v>lt007_instr_activityPRCNTG_ACTVTY</v>
      </c>
      <c r="B610" s="141" t="s">
        <v>26</v>
      </c>
      <c r="C610" s="137" t="s">
        <v>26</v>
      </c>
      <c r="D610" s="133" t="s">
        <v>40</v>
      </c>
      <c r="E610" s="136" t="s">
        <v>1887</v>
      </c>
      <c r="F610" s="428" t="s">
        <v>2356</v>
      </c>
      <c r="G610" s="135" t="str">
        <f>VLOOKUP(A610,Plano_V3!$A$26:$G$753,7,0)</f>
        <v>7. Por iniciar</v>
      </c>
      <c r="H610" s="135"/>
      <c r="I610" s="480" t="s">
        <v>2306</v>
      </c>
      <c r="J610" s="152" t="str">
        <f>IF(VLOOKUP(A610,'Aux - pivots1'!$A:$E,3,0)=0, "",VLOOKUP(A610,'Aux - pivots1'!$A:$E,3,0))</f>
        <v/>
      </c>
      <c r="K610" s="152" t="str">
        <f>IF(VLOOKUP(A610,'Aux - pivots1'!$A:$E,4,0)=0, "",VLOOKUP(A610,'Aux - pivots1'!$A:$E,4,0))</f>
        <v/>
      </c>
      <c r="L610" s="152" t="str">
        <f>IF(VLOOKUP(A610,'Aux - pivots1'!$A:$E,5,0)=0, "",VLOOKUP(A610,'Aux - pivots1'!$A:$E,5,0))</f>
        <v/>
      </c>
      <c r="M610" s="205"/>
      <c r="N610" s="205"/>
      <c r="O610" s="337"/>
      <c r="Q610" s="268" t="s">
        <v>2375</v>
      </c>
    </row>
    <row r="611" spans="1:17" ht="16.2" customHeight="1">
      <c r="A611" s="29" t="str">
        <f t="shared" si="9"/>
        <v>lt007_instr_activityFLG_SBSTNTL_CNTRBTN</v>
      </c>
      <c r="B611" s="141" t="s">
        <v>26</v>
      </c>
      <c r="C611" s="137" t="s">
        <v>26</v>
      </c>
      <c r="D611" s="133" t="s">
        <v>40</v>
      </c>
      <c r="E611" s="136" t="s">
        <v>1887</v>
      </c>
      <c r="F611" s="428" t="s">
        <v>2357</v>
      </c>
      <c r="G611" s="135" t="str">
        <f>VLOOKUP(A611,Plano_V3!$A$26:$G$753,7,0)</f>
        <v>7. Por iniciar</v>
      </c>
      <c r="H611" s="135"/>
      <c r="I611" s="480" t="s">
        <v>2306</v>
      </c>
      <c r="J611" s="152" t="str">
        <f>IF(VLOOKUP(A611,'Aux - pivots1'!$A:$E,3,0)=0, "",VLOOKUP(A611,'Aux - pivots1'!$A:$E,3,0))</f>
        <v/>
      </c>
      <c r="K611" s="152" t="str">
        <f>IF(VLOOKUP(A611,'Aux - pivots1'!$A:$E,4,0)=0, "",VLOOKUP(A611,'Aux - pivots1'!$A:$E,4,0))</f>
        <v/>
      </c>
      <c r="L611" s="152" t="str">
        <f>IF(VLOOKUP(A611,'Aux - pivots1'!$A:$E,5,0)=0, "",VLOOKUP(A611,'Aux - pivots1'!$A:$E,5,0))</f>
        <v/>
      </c>
      <c r="M611" s="205"/>
      <c r="N611" s="205"/>
      <c r="O611" s="337"/>
      <c r="Q611" s="268" t="s">
        <v>2375</v>
      </c>
    </row>
    <row r="612" spans="1:17" ht="16.2" customHeight="1">
      <c r="A612" s="29" t="str">
        <f t="shared" si="9"/>
        <v>lt007_instr_activityFLG_DNSH_CMPLNC</v>
      </c>
      <c r="B612" s="141" t="s">
        <v>26</v>
      </c>
      <c r="C612" s="137" t="s">
        <v>26</v>
      </c>
      <c r="D612" s="133" t="s">
        <v>40</v>
      </c>
      <c r="E612" s="136" t="s">
        <v>1887</v>
      </c>
      <c r="F612" s="428" t="s">
        <v>2358</v>
      </c>
      <c r="G612" s="135" t="str">
        <f>VLOOKUP(A612,Plano_V3!$A$26:$G$753,7,0)</f>
        <v>7. Por iniciar</v>
      </c>
      <c r="H612" s="135"/>
      <c r="I612" s="480" t="s">
        <v>2372</v>
      </c>
      <c r="J612" s="152" t="str">
        <f>IF(VLOOKUP(A612,'Aux - pivots1'!$A:$E,3,0)=0, "",VLOOKUP(A612,'Aux - pivots1'!$A:$E,3,0))</f>
        <v/>
      </c>
      <c r="K612" s="152" t="str">
        <f>IF(VLOOKUP(A612,'Aux - pivots1'!$A:$E,4,0)=0, "",VLOOKUP(A612,'Aux - pivots1'!$A:$E,4,0))</f>
        <v/>
      </c>
      <c r="L612" s="152" t="str">
        <f>IF(VLOOKUP(A612,'Aux - pivots1'!$A:$E,5,0)=0, "",VLOOKUP(A612,'Aux - pivots1'!$A:$E,5,0))</f>
        <v/>
      </c>
      <c r="M612" s="205"/>
      <c r="N612" s="205"/>
      <c r="O612" s="337"/>
      <c r="Q612" s="268" t="s">
        <v>2377</v>
      </c>
    </row>
    <row r="613" spans="1:17" ht="16.2" customHeight="1">
      <c r="A613" s="29" t="str">
        <f t="shared" si="9"/>
        <v>lt007_instr_activityDNSH_DTL</v>
      </c>
      <c r="B613" s="141" t="s">
        <v>26</v>
      </c>
      <c r="C613" s="137" t="s">
        <v>26</v>
      </c>
      <c r="D613" s="133" t="s">
        <v>40</v>
      </c>
      <c r="E613" s="136" t="s">
        <v>1887</v>
      </c>
      <c r="F613" s="428" t="s">
        <v>2359</v>
      </c>
      <c r="G613" s="135" t="str">
        <f>VLOOKUP(A613,Plano_V3!$A$26:$G$753,7,0)</f>
        <v>7. Por iniciar</v>
      </c>
      <c r="H613" s="135"/>
      <c r="I613" s="480" t="s">
        <v>2372</v>
      </c>
      <c r="J613" s="152" t="str">
        <f>IF(VLOOKUP(A613,'Aux - pivots1'!$A:$E,3,0)=0, "",VLOOKUP(A613,'Aux - pivots1'!$A:$E,3,0))</f>
        <v/>
      </c>
      <c r="K613" s="152" t="str">
        <f>IF(VLOOKUP(A613,'Aux - pivots1'!$A:$E,4,0)=0, "",VLOOKUP(A613,'Aux - pivots1'!$A:$E,4,0))</f>
        <v/>
      </c>
      <c r="L613" s="152" t="str">
        <f>IF(VLOOKUP(A613,'Aux - pivots1'!$A:$E,5,0)=0, "",VLOOKUP(A613,'Aux - pivots1'!$A:$E,5,0))</f>
        <v/>
      </c>
      <c r="M613" s="205"/>
      <c r="N613" s="205"/>
      <c r="O613" s="337"/>
      <c r="Q613" s="268" t="s">
        <v>2377</v>
      </c>
    </row>
    <row r="614" spans="1:17" ht="16.2" customHeight="1">
      <c r="A614" s="29" t="str">
        <f t="shared" si="8"/>
        <v>lt007_instr_activitysstnbl_ctgry</v>
      </c>
      <c r="B614" s="141" t="s">
        <v>26</v>
      </c>
      <c r="C614" s="137" t="s">
        <v>26</v>
      </c>
      <c r="D614" s="133" t="s">
        <v>40</v>
      </c>
      <c r="E614" s="136" t="s">
        <v>1887</v>
      </c>
      <c r="F614" s="136" t="s">
        <v>419</v>
      </c>
      <c r="G614" s="135" t="str">
        <f>VLOOKUP(A614,Plano_V3!$A$26:$G$753,7,0)</f>
        <v>4. Validação EF</v>
      </c>
      <c r="H614" s="135" t="s">
        <v>614</v>
      </c>
      <c r="I614" s="142" t="s">
        <v>1869</v>
      </c>
      <c r="J614" s="152" t="str">
        <f>IF(VLOOKUP(A598,'Aux - pivots1'!$A:$E,3,0)=0, "",VLOOKUP(A598,'Aux - pivots1'!$A:$E,3,0))</f>
        <v/>
      </c>
      <c r="K614" s="152" t="str">
        <f>IF(VLOOKUP(A598,'Aux - pivots1'!$A:$E,4,0)=0, "",VLOOKUP(A598,'Aux - pivots1'!$A:$E,4,0))</f>
        <v/>
      </c>
      <c r="L614" s="152" t="str">
        <f>IF(VLOOKUP(A598,'Aux - pivots1'!$A:$E,5,0)=0, "",VLOOKUP(A598,'Aux - pivots1'!$A:$E,5,0))</f>
        <v/>
      </c>
      <c r="M614" s="205">
        <v>45593</v>
      </c>
      <c r="N614" s="205"/>
      <c r="O614" s="337" t="s">
        <v>26</v>
      </c>
      <c r="Q614" s="268" t="s">
        <v>2375</v>
      </c>
    </row>
    <row r="615" spans="1:17" ht="16.2" customHeight="1">
      <c r="A615" s="29" t="str">
        <f t="shared" si="8"/>
        <v>lt002_instrumentgrss_intrst_incm</v>
      </c>
      <c r="B615" s="141" t="s">
        <v>26</v>
      </c>
      <c r="C615" s="137" t="s">
        <v>26</v>
      </c>
      <c r="D615" s="133" t="s">
        <v>40</v>
      </c>
      <c r="E615" s="136" t="s">
        <v>379</v>
      </c>
      <c r="F615" s="136" t="s">
        <v>420</v>
      </c>
      <c r="G615" s="135" t="str">
        <f>VLOOKUP(A615,Plano_V3!$A$26:$G$753,7,0)</f>
        <v>5. Em Correção</v>
      </c>
      <c r="H615" s="135" t="s">
        <v>1862</v>
      </c>
      <c r="I615" s="142" t="s">
        <v>657</v>
      </c>
      <c r="J615" s="152" t="str">
        <f>IF(VLOOKUP(A599,'Aux - pivots1'!$A:$E,3,0)=0, "",VLOOKUP(A599,'Aux - pivots1'!$A:$E,3,0))</f>
        <v/>
      </c>
      <c r="K615" s="152" t="str">
        <f>IF(VLOOKUP(A599,'Aux - pivots1'!$A:$E,4,0)=0, "",VLOOKUP(A599,'Aux - pivots1'!$A:$E,4,0))</f>
        <v/>
      </c>
      <c r="L615" s="152" t="str">
        <f>IF(VLOOKUP(A599,'Aux - pivots1'!$A:$E,5,0)=0, "",VLOOKUP(A599,'Aux - pivots1'!$A:$E,5,0))</f>
        <v/>
      </c>
      <c r="M615" s="205">
        <v>45595</v>
      </c>
      <c r="N615" s="205"/>
      <c r="O615" s="337" t="s">
        <v>26</v>
      </c>
      <c r="Q615" s="268" t="s">
        <v>1884</v>
      </c>
    </row>
    <row r="616" spans="1:17" ht="16.2" customHeight="1">
      <c r="A616" s="29" t="str">
        <f t="shared" ref="A616:A725" si="10">E616&amp;F616</f>
        <v>lt002_instrumentgrss_cmmssn_incm</v>
      </c>
      <c r="B616" s="141" t="s">
        <v>26</v>
      </c>
      <c r="C616" s="137" t="s">
        <v>26</v>
      </c>
      <c r="D616" s="133" t="s">
        <v>40</v>
      </c>
      <c r="E616" s="136" t="s">
        <v>379</v>
      </c>
      <c r="F616" s="136" t="s">
        <v>421</v>
      </c>
      <c r="G616" s="135" t="str">
        <f>VLOOKUP(A616,Plano_V3!$A$26:$G$753,7,0)</f>
        <v>5. Em Correção</v>
      </c>
      <c r="H616" s="135" t="s">
        <v>1862</v>
      </c>
      <c r="I616" s="142" t="s">
        <v>657</v>
      </c>
      <c r="J616" s="152" t="str">
        <f>IF(VLOOKUP(A600,'Aux - pivots1'!$A:$E,3,0)=0, "",VLOOKUP(A600,'Aux - pivots1'!$A:$E,3,0))</f>
        <v/>
      </c>
      <c r="K616" s="152" t="str">
        <f>IF(VLOOKUP(A600,'Aux - pivots1'!$A:$E,4,0)=0, "",VLOOKUP(A600,'Aux - pivots1'!$A:$E,4,0))</f>
        <v/>
      </c>
      <c r="L616" s="152" t="str">
        <f>IF(VLOOKUP(A600,'Aux - pivots1'!$A:$E,5,0)=0, "",VLOOKUP(A600,'Aux - pivots1'!$A:$E,5,0))</f>
        <v/>
      </c>
      <c r="M616" s="205">
        <v>45595</v>
      </c>
      <c r="N616" s="205"/>
      <c r="O616" s="337" t="s">
        <v>26</v>
      </c>
      <c r="Q616" s="268" t="s">
        <v>1884</v>
      </c>
    </row>
    <row r="617" spans="1:17" ht="16.2" customHeight="1">
      <c r="A617" s="29" t="str">
        <f t="shared" si="10"/>
        <v>lt002_instrumentgrss_cmmssn_incm_off_blnc</v>
      </c>
      <c r="B617" s="141" t="s">
        <v>26</v>
      </c>
      <c r="C617" s="137" t="s">
        <v>26</v>
      </c>
      <c r="D617" s="133" t="s">
        <v>40</v>
      </c>
      <c r="E617" s="136" t="s">
        <v>379</v>
      </c>
      <c r="F617" s="136" t="s">
        <v>422</v>
      </c>
      <c r="G617" s="135" t="str">
        <f>VLOOKUP(A617,Plano_V3!$A$26:$G$753,7,0)</f>
        <v>5. Em Correção</v>
      </c>
      <c r="H617" s="135" t="s">
        <v>1862</v>
      </c>
      <c r="I617" s="142" t="s">
        <v>657</v>
      </c>
      <c r="J617" s="152" t="str">
        <f>IF(VLOOKUP(A601,'Aux - pivots1'!$A:$E,3,0)=0, "",VLOOKUP(A601,'Aux - pivots1'!$A:$E,3,0))</f>
        <v/>
      </c>
      <c r="K617" s="152" t="str">
        <f>IF(VLOOKUP(A601,'Aux - pivots1'!$A:$E,4,0)=0, "",VLOOKUP(A601,'Aux - pivots1'!$A:$E,4,0))</f>
        <v/>
      </c>
      <c r="L617" s="152" t="str">
        <f>IF(VLOOKUP(A601,'Aux - pivots1'!$A:$E,5,0)=0, "",VLOOKUP(A601,'Aux - pivots1'!$A:$E,5,0))</f>
        <v/>
      </c>
      <c r="M617" s="205">
        <v>45595</v>
      </c>
      <c r="N617" s="205"/>
      <c r="O617" s="337" t="s">
        <v>26</v>
      </c>
      <c r="Q617" s="268" t="s">
        <v>1884</v>
      </c>
    </row>
    <row r="618" spans="1:17" ht="16.2"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t="s">
        <v>657</v>
      </c>
      <c r="J618" s="152" t="str">
        <f>IF(VLOOKUP(A601,'Aux - pivots1'!$A:$E,3,0)=0, "",VLOOKUP(A601,'Aux - pivots1'!$A:$E,3,0))</f>
        <v/>
      </c>
      <c r="K618" s="152" t="str">
        <f>IF(VLOOKUP(A601,'Aux - pivots1'!$A:$E,4,0)=0, "",VLOOKUP(A601,'Aux - pivots1'!$A:$E,4,0))</f>
        <v/>
      </c>
      <c r="L618" s="152" t="str">
        <f>IF(VLOOKUP(A601,'Aux - pivots1'!$A:$E,5,0)=0, "",VLOOKUP(A601,'Aux - pivots1'!$A:$E,5,0))</f>
        <v/>
      </c>
      <c r="M618" s="205"/>
      <c r="N618" s="205"/>
      <c r="O618" s="337" t="s">
        <v>26</v>
      </c>
    </row>
    <row r="619" spans="1:17" ht="16.2" customHeight="1">
      <c r="A619" s="29" t="str">
        <f t="shared" si="11"/>
        <v>lt002_instrumentFRBRNC_STTS_INSTRMNT</v>
      </c>
      <c r="B619" s="141" t="s">
        <v>26</v>
      </c>
      <c r="C619" s="137" t="s">
        <v>26</v>
      </c>
      <c r="D619" s="421" t="s">
        <v>40</v>
      </c>
      <c r="E619" s="482" t="s">
        <v>379</v>
      </c>
      <c r="F619" s="428" t="s">
        <v>2227</v>
      </c>
      <c r="G619" s="426" t="str">
        <f>VLOOKUP(A619,Plano_V3!$A$26:$G$753,7,0)</f>
        <v>7. Por iniciar</v>
      </c>
      <c r="H619" s="426"/>
      <c r="I619" s="483" t="s">
        <v>2376</v>
      </c>
      <c r="J619" s="152" t="str">
        <f>IF(VLOOKUP(A619,'Aux - pivots1'!$A:$E,3,0)=0, "",VLOOKUP(A619,'Aux - pivots1'!$A:$E,3,0))</f>
        <v/>
      </c>
      <c r="K619" s="152" t="str">
        <f>IF(VLOOKUP(A619,'Aux - pivots1'!$A:$E,4,0)=0, "",VLOOKUP(A619,'Aux - pivots1'!$A:$E,4,0))</f>
        <v/>
      </c>
      <c r="L619" s="152" t="str">
        <f>IF(VLOOKUP(A619,'Aux - pivots1'!$A:$E,5,0)=0, "",VLOOKUP(A619,'Aux - pivots1'!$A:$E,5,0))</f>
        <v/>
      </c>
      <c r="M619" s="205"/>
      <c r="N619" s="205"/>
      <c r="O619" s="337"/>
      <c r="Q619" s="268" t="s">
        <v>1883</v>
      </c>
    </row>
    <row r="620" spans="1:17" ht="16.2" customHeight="1">
      <c r="A620" s="29" t="str">
        <f t="shared" si="11"/>
        <v>lt002_instrumentINTRNL_SGMNT</v>
      </c>
      <c r="B620" s="141" t="s">
        <v>26</v>
      </c>
      <c r="C620" s="137" t="s">
        <v>26</v>
      </c>
      <c r="D620" s="421" t="s">
        <v>40</v>
      </c>
      <c r="E620" s="482" t="s">
        <v>379</v>
      </c>
      <c r="F620" s="428" t="s">
        <v>2228</v>
      </c>
      <c r="G620" s="426" t="str">
        <f>VLOOKUP(A620,Plano_V3!$A$26:$G$753,7,0)</f>
        <v>7. Por iniciar</v>
      </c>
      <c r="H620" s="426"/>
      <c r="I620" s="483" t="s">
        <v>2370</v>
      </c>
      <c r="J620" s="152" t="str">
        <f>IF(VLOOKUP(A620,'Aux - pivots1'!$A:$E,3,0)=0, "",VLOOKUP(A620,'Aux - pivots1'!$A:$E,3,0))</f>
        <v/>
      </c>
      <c r="K620" s="152" t="str">
        <f>IF(VLOOKUP(A620,'Aux - pivots1'!$A:$E,4,0)=0, "",VLOOKUP(A620,'Aux - pivots1'!$A:$E,4,0))</f>
        <v/>
      </c>
      <c r="L620" s="152" t="str">
        <f>IF(VLOOKUP(A620,'Aux - pivots1'!$A:$E,5,0)=0, "",VLOOKUP(A620,'Aux - pivots1'!$A:$E,5,0))</f>
        <v/>
      </c>
      <c r="M620" s="205"/>
      <c r="N620" s="205"/>
      <c r="O620" s="337"/>
      <c r="Q620" s="268" t="s">
        <v>1884</v>
      </c>
    </row>
    <row r="621" spans="1:17" ht="16.2" customHeight="1">
      <c r="A621" s="29" t="str">
        <f t="shared" si="11"/>
        <v>lt002_instrumentDT_ORGNL_MTRTY</v>
      </c>
      <c r="B621" s="141" t="s">
        <v>26</v>
      </c>
      <c r="C621" s="137" t="s">
        <v>26</v>
      </c>
      <c r="D621" s="421" t="s">
        <v>40</v>
      </c>
      <c r="E621" s="482" t="s">
        <v>379</v>
      </c>
      <c r="F621" s="428" t="s">
        <v>2229</v>
      </c>
      <c r="G621" s="426" t="str">
        <f>VLOOKUP(A621,Plano_V3!$A$26:$G$753,7,0)</f>
        <v>7. Por iniciar</v>
      </c>
      <c r="H621" s="426"/>
      <c r="I621" s="483" t="s">
        <v>2370</v>
      </c>
      <c r="J621" s="152" t="str">
        <f>IF(VLOOKUP(A621,'Aux - pivots1'!$A:$E,3,0)=0, "",VLOOKUP(A621,'Aux - pivots1'!$A:$E,3,0))</f>
        <v/>
      </c>
      <c r="K621" s="152" t="str">
        <f>IF(VLOOKUP(A621,'Aux - pivots1'!$A:$E,4,0)=0, "",VLOOKUP(A621,'Aux - pivots1'!$A:$E,4,0))</f>
        <v/>
      </c>
      <c r="L621" s="152" t="str">
        <f>IF(VLOOKUP(A621,'Aux - pivots1'!$A:$E,5,0)=0, "",VLOOKUP(A621,'Aux - pivots1'!$A:$E,5,0))</f>
        <v/>
      </c>
      <c r="M621" s="205"/>
      <c r="N621" s="205"/>
      <c r="O621" s="337"/>
      <c r="Q621" s="268" t="s">
        <v>1884</v>
      </c>
    </row>
    <row r="622" spans="1:17" ht="16.2" customHeight="1">
      <c r="A622" s="29" t="str">
        <f t="shared" si="11"/>
        <v>lt002_instrumentEAD</v>
      </c>
      <c r="B622" s="141" t="s">
        <v>26</v>
      </c>
      <c r="C622" s="137" t="s">
        <v>26</v>
      </c>
      <c r="D622" s="421" t="s">
        <v>40</v>
      </c>
      <c r="E622" s="482" t="s">
        <v>379</v>
      </c>
      <c r="F622" s="428" t="s">
        <v>2230</v>
      </c>
      <c r="G622" s="426" t="str">
        <f>VLOOKUP(A622,Plano_V3!$A$26:$G$753,7,0)</f>
        <v>7. Por iniciar</v>
      </c>
      <c r="H622" s="426"/>
      <c r="I622" s="483" t="s">
        <v>2371</v>
      </c>
      <c r="J622" s="152" t="str">
        <f>IF(VLOOKUP(A622,'Aux - pivots1'!$A:$E,3,0)=0, "",VLOOKUP(A622,'Aux - pivots1'!$A:$E,3,0))</f>
        <v/>
      </c>
      <c r="K622" s="152" t="str">
        <f>IF(VLOOKUP(A622,'Aux - pivots1'!$A:$E,4,0)=0, "",VLOOKUP(A622,'Aux - pivots1'!$A:$E,4,0))</f>
        <v/>
      </c>
      <c r="L622" s="152" t="str">
        <f>IF(VLOOKUP(A622,'Aux - pivots1'!$A:$E,5,0)=0, "",VLOOKUP(A622,'Aux - pivots1'!$A:$E,5,0))</f>
        <v/>
      </c>
      <c r="M622" s="205"/>
      <c r="N622" s="205"/>
      <c r="O622" s="337"/>
      <c r="Q622" s="268" t="s">
        <v>1884</v>
      </c>
    </row>
    <row r="623" spans="1:17" ht="16.2" customHeight="1">
      <c r="A623" s="29" t="str">
        <f t="shared" si="11"/>
        <v>lt002_instrumentOFF_BLNC_SHT_AMNT_INSTRMNT</v>
      </c>
      <c r="B623" s="141" t="s">
        <v>26</v>
      </c>
      <c r="C623" s="137" t="s">
        <v>26</v>
      </c>
      <c r="D623" s="421" t="s">
        <v>40</v>
      </c>
      <c r="E623" s="482" t="s">
        <v>379</v>
      </c>
      <c r="F623" s="428" t="s">
        <v>1434</v>
      </c>
      <c r="G623" s="426" t="str">
        <f>VLOOKUP(A623,Plano_V3!$A$26:$G$753,7,0)</f>
        <v>7. Por iniciar</v>
      </c>
      <c r="H623" s="426"/>
      <c r="I623" s="483" t="s">
        <v>2371</v>
      </c>
      <c r="J623" s="152" t="str">
        <f>IF(VLOOKUP(A623,'Aux - pivots1'!$A:$E,3,0)=0, "",VLOOKUP(A623,'Aux - pivots1'!$A:$E,3,0))</f>
        <v/>
      </c>
      <c r="K623" s="152" t="str">
        <f>IF(VLOOKUP(A623,'Aux - pivots1'!$A:$E,4,0)=0, "",VLOOKUP(A623,'Aux - pivots1'!$A:$E,4,0))</f>
        <v/>
      </c>
      <c r="L623" s="152" t="str">
        <f>IF(VLOOKUP(A623,'Aux - pivots1'!$A:$E,5,0)=0, "",VLOOKUP(A623,'Aux - pivots1'!$A:$E,5,0))</f>
        <v/>
      </c>
      <c r="M623" s="205"/>
      <c r="N623" s="205"/>
      <c r="O623" s="337"/>
      <c r="Q623" s="268" t="s">
        <v>1884</v>
      </c>
    </row>
    <row r="624" spans="1:17" ht="16.2" customHeight="1">
      <c r="A624" s="29" t="str">
        <f t="shared" si="11"/>
        <v>lt002_instrumentRWA</v>
      </c>
      <c r="B624" s="141" t="s">
        <v>26</v>
      </c>
      <c r="C624" s="137" t="s">
        <v>26</v>
      </c>
      <c r="D624" s="421" t="s">
        <v>40</v>
      </c>
      <c r="E624" s="482" t="s">
        <v>379</v>
      </c>
      <c r="F624" s="428" t="s">
        <v>1440</v>
      </c>
      <c r="G624" s="426" t="str">
        <f>VLOOKUP(A624,Plano_V3!$A$26:$G$753,7,0)</f>
        <v>7. Por iniciar</v>
      </c>
      <c r="H624" s="426"/>
      <c r="I624" s="483" t="s">
        <v>2371</v>
      </c>
      <c r="J624" s="152" t="str">
        <f>IF(VLOOKUP(A624,'Aux - pivots1'!$A:$E,3,0)=0, "",VLOOKUP(A624,'Aux - pivots1'!$A:$E,3,0))</f>
        <v/>
      </c>
      <c r="K624" s="152" t="str">
        <f>IF(VLOOKUP(A624,'Aux - pivots1'!$A:$E,4,0)=0, "",VLOOKUP(A624,'Aux - pivots1'!$A:$E,4,0))</f>
        <v/>
      </c>
      <c r="L624" s="152" t="str">
        <f>IF(VLOOKUP(A624,'Aux - pivots1'!$A:$E,5,0)=0, "",VLOOKUP(A624,'Aux - pivots1'!$A:$E,5,0))</f>
        <v/>
      </c>
      <c r="M624" s="205"/>
      <c r="N624" s="205"/>
      <c r="O624" s="337"/>
      <c r="Q624" s="268" t="s">
        <v>1884</v>
      </c>
    </row>
    <row r="625" spans="1:17" ht="16.2" customHeight="1">
      <c r="A625" s="29" t="str">
        <f t="shared" si="11"/>
        <v>lt002_instrumentLTV</v>
      </c>
      <c r="B625" s="141" t="s">
        <v>26</v>
      </c>
      <c r="C625" s="137" t="s">
        <v>26</v>
      </c>
      <c r="D625" s="421" t="s">
        <v>40</v>
      </c>
      <c r="E625" s="482" t="s">
        <v>379</v>
      </c>
      <c r="F625" s="428" t="s">
        <v>2231</v>
      </c>
      <c r="G625" s="426" t="str">
        <f>VLOOKUP(A625,Plano_V3!$A$26:$G$753,7,0)</f>
        <v>7. Por iniciar</v>
      </c>
      <c r="H625" s="426"/>
      <c r="I625" s="483" t="s">
        <v>2370</v>
      </c>
      <c r="J625" s="152" t="str">
        <f>IF(VLOOKUP(A625,'Aux - pivots1'!$A:$E,3,0)=0, "",VLOOKUP(A625,'Aux - pivots1'!$A:$E,3,0))</f>
        <v/>
      </c>
      <c r="K625" s="152" t="str">
        <f>IF(VLOOKUP(A625,'Aux - pivots1'!$A:$E,4,0)=0, "",VLOOKUP(A625,'Aux - pivots1'!$A:$E,4,0))</f>
        <v/>
      </c>
      <c r="L625" s="152" t="str">
        <f>IF(VLOOKUP(A625,'Aux - pivots1'!$A:$E,5,0)=0, "",VLOOKUP(A625,'Aux - pivots1'!$A:$E,5,0))</f>
        <v/>
      </c>
      <c r="M625" s="205"/>
      <c r="N625" s="205"/>
      <c r="O625" s="337"/>
      <c r="Q625" s="268" t="s">
        <v>1884</v>
      </c>
    </row>
    <row r="626" spans="1:17" ht="16.2" customHeight="1">
      <c r="A626" s="29" t="str">
        <f t="shared" si="11"/>
        <v>lt002_instrumentLTV_INCPTN</v>
      </c>
      <c r="B626" s="141" t="s">
        <v>26</v>
      </c>
      <c r="C626" s="137" t="s">
        <v>26</v>
      </c>
      <c r="D626" s="421" t="s">
        <v>40</v>
      </c>
      <c r="E626" s="482" t="s">
        <v>379</v>
      </c>
      <c r="F626" s="428" t="s">
        <v>2232</v>
      </c>
      <c r="G626" s="426" t="str">
        <f>VLOOKUP(A626,Plano_V3!$A$26:$G$753,7,0)</f>
        <v>7. Por iniciar</v>
      </c>
      <c r="H626" s="426"/>
      <c r="I626" s="483" t="s">
        <v>2370</v>
      </c>
      <c r="J626" s="152" t="str">
        <f>IF(VLOOKUP(A626,'Aux - pivots1'!$A:$E,3,0)=0, "",VLOOKUP(A626,'Aux - pivots1'!$A:$E,3,0))</f>
        <v/>
      </c>
      <c r="K626" s="152" t="str">
        <f>IF(VLOOKUP(A626,'Aux - pivots1'!$A:$E,4,0)=0, "",VLOOKUP(A626,'Aux - pivots1'!$A:$E,4,0))</f>
        <v/>
      </c>
      <c r="L626" s="152" t="str">
        <f>IF(VLOOKUP(A626,'Aux - pivots1'!$A:$E,5,0)=0, "",VLOOKUP(A626,'Aux - pivots1'!$A:$E,5,0))</f>
        <v/>
      </c>
      <c r="M626" s="205"/>
      <c r="N626" s="205"/>
      <c r="O626" s="337"/>
      <c r="Q626" s="268" t="s">
        <v>1883</v>
      </c>
    </row>
    <row r="627" spans="1:17" ht="16.2" customHeight="1">
      <c r="A627" s="29" t="str">
        <f t="shared" si="11"/>
        <v>lt002_instrumentEIR</v>
      </c>
      <c r="B627" s="141" t="s">
        <v>26</v>
      </c>
      <c r="C627" s="137" t="s">
        <v>26</v>
      </c>
      <c r="D627" s="421" t="s">
        <v>40</v>
      </c>
      <c r="E627" s="482" t="s">
        <v>379</v>
      </c>
      <c r="F627" s="428" t="s">
        <v>2233</v>
      </c>
      <c r="G627" s="426" t="str">
        <f>VLOOKUP(A627,Plano_V3!$A$26:$G$753,7,0)</f>
        <v>7. Por iniciar</v>
      </c>
      <c r="H627" s="426"/>
      <c r="I627" s="483" t="s">
        <v>2371</v>
      </c>
      <c r="J627" s="152" t="str">
        <f>IF(VLOOKUP(A627,'Aux - pivots1'!$A:$E,3,0)=0, "",VLOOKUP(A627,'Aux - pivots1'!$A:$E,3,0))</f>
        <v/>
      </c>
      <c r="K627" s="152" t="str">
        <f>IF(VLOOKUP(A627,'Aux - pivots1'!$A:$E,4,0)=0, "",VLOOKUP(A627,'Aux - pivots1'!$A:$E,4,0))</f>
        <v/>
      </c>
      <c r="L627" s="152" t="str">
        <f>IF(VLOOKUP(A627,'Aux - pivots1'!$A:$E,5,0)=0, "",VLOOKUP(A627,'Aux - pivots1'!$A:$E,5,0))</f>
        <v/>
      </c>
      <c r="M627" s="205"/>
      <c r="N627" s="205"/>
      <c r="O627" s="337"/>
      <c r="Q627" s="268" t="s">
        <v>1883</v>
      </c>
    </row>
    <row r="628" spans="1:17" ht="16.2" customHeight="1">
      <c r="A628" s="29" t="str">
        <f t="shared" si="11"/>
        <v>lt002_instrumentEIR_INCPTN</v>
      </c>
      <c r="B628" s="141" t="s">
        <v>26</v>
      </c>
      <c r="C628" s="137" t="s">
        <v>26</v>
      </c>
      <c r="D628" s="421" t="s">
        <v>40</v>
      </c>
      <c r="E628" s="482" t="s">
        <v>379</v>
      </c>
      <c r="F628" s="428" t="s">
        <v>2234</v>
      </c>
      <c r="G628" s="426" t="str">
        <f>VLOOKUP(A628,Plano_V3!$A$26:$G$753,7,0)</f>
        <v>7. Por iniciar</v>
      </c>
      <c r="H628" s="426"/>
      <c r="I628" s="483" t="s">
        <v>2370</v>
      </c>
      <c r="J628" s="152" t="str">
        <f>IF(VLOOKUP(A628,'Aux - pivots1'!$A:$E,3,0)=0, "",VLOOKUP(A628,'Aux - pivots1'!$A:$E,3,0))</f>
        <v/>
      </c>
      <c r="K628" s="152" t="str">
        <f>IF(VLOOKUP(A628,'Aux - pivots1'!$A:$E,4,0)=0, "",VLOOKUP(A628,'Aux - pivots1'!$A:$E,4,0))</f>
        <v/>
      </c>
      <c r="L628" s="152" t="str">
        <f>IF(VLOOKUP(A628,'Aux - pivots1'!$A:$E,5,0)=0, "",VLOOKUP(A628,'Aux - pivots1'!$A:$E,5,0))</f>
        <v/>
      </c>
      <c r="M628" s="205"/>
      <c r="N628" s="205"/>
      <c r="O628" s="337"/>
      <c r="Q628" s="268" t="s">
        <v>1883</v>
      </c>
    </row>
    <row r="629" spans="1:17" ht="16.2" customHeight="1">
      <c r="A629" s="29" t="str">
        <f t="shared" si="11"/>
        <v>lt002_instrumentINTRNL_SGMNT_CAT_MSTA</v>
      </c>
      <c r="B629" s="141" t="s">
        <v>26</v>
      </c>
      <c r="C629" s="137" t="s">
        <v>26</v>
      </c>
      <c r="D629" s="421" t="s">
        <v>40</v>
      </c>
      <c r="E629" s="482" t="s">
        <v>379</v>
      </c>
      <c r="F629" s="428" t="s">
        <v>2235</v>
      </c>
      <c r="G629" s="426" t="str">
        <f>VLOOKUP(A629,Plano_V3!$A$26:$G$753,7,0)</f>
        <v>7. Por iniciar</v>
      </c>
      <c r="H629" s="426"/>
      <c r="I629" s="483" t="s">
        <v>2370</v>
      </c>
      <c r="J629" s="152" t="str">
        <f>IF(VLOOKUP(A629,'Aux - pivots1'!$A:$E,3,0)=0, "",VLOOKUP(A629,'Aux - pivots1'!$A:$E,3,0))</f>
        <v/>
      </c>
      <c r="K629" s="152" t="str">
        <f>IF(VLOOKUP(A629,'Aux - pivots1'!$A:$E,4,0)=0, "",VLOOKUP(A629,'Aux - pivots1'!$A:$E,4,0))</f>
        <v/>
      </c>
      <c r="L629" s="152" t="str">
        <f>IF(VLOOKUP(A629,'Aux - pivots1'!$A:$E,5,0)=0, "",VLOOKUP(A629,'Aux - pivots1'!$A:$E,5,0))</f>
        <v/>
      </c>
      <c r="M629" s="205"/>
      <c r="N629" s="205"/>
      <c r="O629" s="337"/>
      <c r="Q629" s="268" t="s">
        <v>1883</v>
      </c>
    </row>
    <row r="630" spans="1:17" ht="16.2" customHeight="1">
      <c r="A630" s="29" t="str">
        <f t="shared" si="11"/>
        <v>lt002_instrumentINTRNL_SGMNT_CATGSUB</v>
      </c>
      <c r="B630" s="141" t="s">
        <v>26</v>
      </c>
      <c r="C630" s="137" t="s">
        <v>26</v>
      </c>
      <c r="D630" s="421" t="s">
        <v>40</v>
      </c>
      <c r="E630" s="482" t="s">
        <v>379</v>
      </c>
      <c r="F630" s="428" t="s">
        <v>2236</v>
      </c>
      <c r="G630" s="426" t="str">
        <f>VLOOKUP(A630,Plano_V3!$A$26:$G$753,7,0)</f>
        <v>7. Por iniciar</v>
      </c>
      <c r="H630" s="426"/>
      <c r="I630" s="483" t="s">
        <v>2370</v>
      </c>
      <c r="J630" s="152" t="str">
        <f>IF(VLOOKUP(A630,'Aux - pivots1'!$A:$E,3,0)=0, "",VLOOKUP(A630,'Aux - pivots1'!$A:$E,3,0))</f>
        <v/>
      </c>
      <c r="K630" s="152" t="str">
        <f>IF(VLOOKUP(A630,'Aux - pivots1'!$A:$E,4,0)=0, "",VLOOKUP(A630,'Aux - pivots1'!$A:$E,4,0))</f>
        <v/>
      </c>
      <c r="L630" s="152" t="str">
        <f>IF(VLOOKUP(A630,'Aux - pivots1'!$A:$E,5,0)=0, "",VLOOKUP(A630,'Aux - pivots1'!$A:$E,5,0))</f>
        <v/>
      </c>
      <c r="M630" s="205"/>
      <c r="N630" s="205"/>
      <c r="O630" s="337"/>
      <c r="Q630" s="268" t="s">
        <v>1883</v>
      </c>
    </row>
    <row r="631" spans="1:17" ht="16.2" customHeight="1">
      <c r="A631" s="29" t="str">
        <f t="shared" si="11"/>
        <v>lt002_instrumentNW_BSNSS</v>
      </c>
      <c r="B631" s="141" t="s">
        <v>26</v>
      </c>
      <c r="C631" s="137" t="s">
        <v>26</v>
      </c>
      <c r="D631" s="421" t="s">
        <v>40</v>
      </c>
      <c r="E631" s="482" t="s">
        <v>379</v>
      </c>
      <c r="F631" s="428" t="s">
        <v>1356</v>
      </c>
      <c r="G631" s="426" t="str">
        <f>VLOOKUP(A631,Plano_V3!$A$26:$G$753,7,0)</f>
        <v>7. Por iniciar</v>
      </c>
      <c r="H631" s="426"/>
      <c r="I631" s="483" t="s">
        <v>2367</v>
      </c>
      <c r="J631" s="152" t="str">
        <f>IF(VLOOKUP(A631,'Aux - pivots1'!$A:$E,3,0)=0, "",VLOOKUP(A631,'Aux - pivots1'!$A:$E,3,0))</f>
        <v/>
      </c>
      <c r="K631" s="152" t="str">
        <f>IF(VLOOKUP(A631,'Aux - pivots1'!$A:$E,4,0)=0, "",VLOOKUP(A631,'Aux - pivots1'!$A:$E,4,0))</f>
        <v/>
      </c>
      <c r="L631" s="152" t="str">
        <f>IF(VLOOKUP(A631,'Aux - pivots1'!$A:$E,5,0)=0, "",VLOOKUP(A631,'Aux - pivots1'!$A:$E,5,0))</f>
        <v/>
      </c>
      <c r="M631" s="205"/>
      <c r="N631" s="205"/>
      <c r="O631" s="337"/>
      <c r="Q631" s="268" t="s">
        <v>2375</v>
      </c>
    </row>
    <row r="632" spans="1:17" ht="16.2" customHeight="1">
      <c r="A632" s="29" t="str">
        <f t="shared" si="11"/>
        <v>lt002_instrumentCNCLLD_INSTRMNT_STTS</v>
      </c>
      <c r="B632" s="141" t="s">
        <v>26</v>
      </c>
      <c r="C632" s="137" t="s">
        <v>26</v>
      </c>
      <c r="D632" s="421" t="s">
        <v>40</v>
      </c>
      <c r="E632" s="482" t="s">
        <v>379</v>
      </c>
      <c r="F632" s="428" t="s">
        <v>1366</v>
      </c>
      <c r="G632" s="426" t="str">
        <f>VLOOKUP(A632,Plano_V3!$A$26:$G$753,7,0)</f>
        <v>7. Por iniciar</v>
      </c>
      <c r="H632" s="426"/>
      <c r="I632" s="483" t="s">
        <v>2367</v>
      </c>
      <c r="J632" s="152" t="str">
        <f>IF(VLOOKUP(A632,'Aux - pivots1'!$A:$E,3,0)=0, "",VLOOKUP(A632,'Aux - pivots1'!$A:$E,3,0))</f>
        <v/>
      </c>
      <c r="K632" s="152" t="str">
        <f>IF(VLOOKUP(A632,'Aux - pivots1'!$A:$E,4,0)=0, "",VLOOKUP(A632,'Aux - pivots1'!$A:$E,4,0))</f>
        <v/>
      </c>
      <c r="L632" s="152" t="str">
        <f>IF(VLOOKUP(A632,'Aux - pivots1'!$A:$E,5,0)=0, "",VLOOKUP(A632,'Aux - pivots1'!$A:$E,5,0))</f>
        <v/>
      </c>
      <c r="M632" s="205"/>
      <c r="N632" s="205"/>
      <c r="O632" s="337"/>
      <c r="Q632" s="268" t="s">
        <v>2375</v>
      </c>
    </row>
    <row r="633" spans="1:17" ht="16.2" customHeight="1">
      <c r="A633" s="29" t="str">
        <f t="shared" si="11"/>
        <v>lt002_instrumentTYP_OFF_BLNC_PRDCT</v>
      </c>
      <c r="B633" s="141" t="s">
        <v>26</v>
      </c>
      <c r="C633" s="137" t="s">
        <v>26</v>
      </c>
      <c r="D633" s="421" t="s">
        <v>40</v>
      </c>
      <c r="E633" s="482" t="s">
        <v>379</v>
      </c>
      <c r="F633" s="428" t="s">
        <v>2237</v>
      </c>
      <c r="G633" s="426" t="str">
        <f>VLOOKUP(A633,Plano_V3!$A$26:$G$753,7,0)</f>
        <v>7. Por iniciar</v>
      </c>
      <c r="H633" s="426"/>
      <c r="I633" s="484" t="s">
        <v>2368</v>
      </c>
      <c r="J633" s="152" t="str">
        <f>IF(VLOOKUP(A633,'Aux - pivots1'!$A:$E,3,0)=0, "",VLOOKUP(A633,'Aux - pivots1'!$A:$E,3,0))</f>
        <v/>
      </c>
      <c r="K633" s="152" t="str">
        <f>IF(VLOOKUP(A633,'Aux - pivots1'!$A:$E,4,0)=0, "",VLOOKUP(A633,'Aux - pivots1'!$A:$E,4,0))</f>
        <v/>
      </c>
      <c r="L633" s="152" t="str">
        <f>IF(VLOOKUP(A633,'Aux - pivots1'!$A:$E,5,0)=0, "",VLOOKUP(A633,'Aux - pivots1'!$A:$E,5,0))</f>
        <v/>
      </c>
      <c r="M633" s="205"/>
      <c r="N633" s="205"/>
      <c r="O633" s="337"/>
      <c r="Q633" s="268" t="s">
        <v>1883</v>
      </c>
    </row>
    <row r="634" spans="1:17" ht="16.2" customHeight="1">
      <c r="A634" s="29" t="str">
        <f t="shared" si="11"/>
        <v>lt002_instrumentFLG_MNMM_SFGRDS</v>
      </c>
      <c r="B634" s="141" t="s">
        <v>26</v>
      </c>
      <c r="C634" s="137" t="s">
        <v>26</v>
      </c>
      <c r="D634" s="421" t="s">
        <v>40</v>
      </c>
      <c r="E634" s="482" t="s">
        <v>379</v>
      </c>
      <c r="F634" s="428" t="s">
        <v>2238</v>
      </c>
      <c r="G634" s="426" t="str">
        <f>VLOOKUP(A634,Plano_V3!$A$26:$G$753,7,0)</f>
        <v>7. Por iniciar</v>
      </c>
      <c r="H634" s="426"/>
      <c r="I634" s="483" t="s">
        <v>2369</v>
      </c>
      <c r="J634" s="152" t="str">
        <f>IF(VLOOKUP(A634,'Aux - pivots1'!$A:$E,3,0)=0, "",VLOOKUP(A634,'Aux - pivots1'!$A:$E,3,0))</f>
        <v/>
      </c>
      <c r="K634" s="152" t="str">
        <f>IF(VLOOKUP(A634,'Aux - pivots1'!$A:$E,4,0)=0, "",VLOOKUP(A634,'Aux - pivots1'!$A:$E,4,0))</f>
        <v/>
      </c>
      <c r="L634" s="152" t="str">
        <f>IF(VLOOKUP(A634,'Aux - pivots1'!$A:$E,5,0)=0, "",VLOOKUP(A634,'Aux - pivots1'!$A:$E,5,0))</f>
        <v/>
      </c>
      <c r="M634" s="205"/>
      <c r="N634" s="205"/>
      <c r="O634" s="337"/>
      <c r="Q634" s="268" t="s">
        <v>1883</v>
      </c>
    </row>
    <row r="635" spans="1:17" ht="16.2"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t="s">
        <v>657</v>
      </c>
      <c r="J635" s="152" t="str">
        <f>IF(VLOOKUP(A603,'Aux - pivots1'!$A:$E,3,0)=0, "",VLOOKUP(A603,'Aux - pivots1'!$A:$E,3,0))</f>
        <v/>
      </c>
      <c r="K635" s="152" t="str">
        <f>IF(VLOOKUP(A603,'Aux - pivots1'!$A:$E,4,0)=0, "",VLOOKUP(A603,'Aux - pivots1'!$A:$E,4,0))</f>
        <v/>
      </c>
      <c r="L635" s="152" t="str">
        <f>IF(VLOOKUP(A603,'Aux - pivots1'!$A:$E,5,0)=0, "",VLOOKUP(A603,'Aux - pivots1'!$A:$E,5,0))</f>
        <v/>
      </c>
      <c r="M635" s="205"/>
      <c r="N635" s="205"/>
      <c r="O635" s="337" t="s">
        <v>26</v>
      </c>
    </row>
    <row r="636" spans="1:17" ht="16.2"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t="s">
        <v>657</v>
      </c>
      <c r="J636" s="152" t="str">
        <f>IF(VLOOKUP(A604,'Aux - pivots1'!$A:$E,3,0)=0, "",VLOOKUP(A604,'Aux - pivots1'!$A:$E,3,0))</f>
        <v/>
      </c>
      <c r="K636" s="152" t="str">
        <f>IF(VLOOKUP(A604,'Aux - pivots1'!$A:$E,4,0)=0, "",VLOOKUP(A604,'Aux - pivots1'!$A:$E,4,0))</f>
        <v/>
      </c>
      <c r="L636" s="152" t="str">
        <f>IF(VLOOKUP(A604,'Aux - pivots1'!$A:$E,5,0)=0, "",VLOOKUP(A604,'Aux - pivots1'!$A:$E,5,0))</f>
        <v/>
      </c>
      <c r="M636" s="205"/>
      <c r="N636" s="205"/>
      <c r="O636" s="337" t="s">
        <v>26</v>
      </c>
    </row>
    <row r="637" spans="1:17" ht="16.2"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t="s">
        <v>657</v>
      </c>
      <c r="J637" s="152" t="str">
        <f>IF(VLOOKUP(A605,'Aux - pivots1'!$A:$E,3,0)=0, "",VLOOKUP(A605,'Aux - pivots1'!$A:$E,3,0))</f>
        <v/>
      </c>
      <c r="K637" s="152" t="str">
        <f>IF(VLOOKUP(A605,'Aux - pivots1'!$A:$E,4,0)=0, "",VLOOKUP(A605,'Aux - pivots1'!$A:$E,4,0))</f>
        <v/>
      </c>
      <c r="L637" s="152" t="str">
        <f>IF(VLOOKUP(A605,'Aux - pivots1'!$A:$E,5,0)=0, "",VLOOKUP(A605,'Aux - pivots1'!$A:$E,5,0))</f>
        <v/>
      </c>
      <c r="M637" s="205"/>
      <c r="N637" s="205"/>
      <c r="O637" s="337" t="s">
        <v>26</v>
      </c>
    </row>
    <row r="638" spans="1:17" ht="16.2"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t="s">
        <v>657</v>
      </c>
      <c r="J638" s="152" t="str">
        <f>IF(VLOOKUP(A606,'Aux - pivots1'!$A:$E,3,0)=0, "",VLOOKUP(A606,'Aux - pivots1'!$A:$E,3,0))</f>
        <v/>
      </c>
      <c r="K638" s="152" t="str">
        <f>IF(VLOOKUP(A606,'Aux - pivots1'!$A:$E,4,0)=0, "",VLOOKUP(A606,'Aux - pivots1'!$A:$E,4,0))</f>
        <v/>
      </c>
      <c r="L638" s="152" t="str">
        <f>IF(VLOOKUP(A606,'Aux - pivots1'!$A:$E,5,0)=0, "",VLOOKUP(A606,'Aux - pivots1'!$A:$E,5,0))</f>
        <v/>
      </c>
      <c r="M638" s="205"/>
      <c r="N638" s="205"/>
      <c r="O638" s="337" t="s">
        <v>26</v>
      </c>
    </row>
    <row r="639" spans="1:17" ht="16.2"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t="s">
        <v>657</v>
      </c>
      <c r="J639" s="152" t="str">
        <f>IF(VLOOKUP(A614,'Aux - pivots1'!$A:$E,3,0)=0, "",VLOOKUP(A614,'Aux - pivots1'!$A:$E,3,0))</f>
        <v/>
      </c>
      <c r="K639" s="152" t="str">
        <f>IF(VLOOKUP(A614,'Aux - pivots1'!$A:$E,4,0)=0, "",VLOOKUP(A614,'Aux - pivots1'!$A:$E,4,0))</f>
        <v/>
      </c>
      <c r="L639" s="152" t="str">
        <f>IF(VLOOKUP(A614,'Aux - pivots1'!$A:$E,5,0)=0, "",VLOOKUP(A614,'Aux - pivots1'!$A:$E,5,0))</f>
        <v/>
      </c>
      <c r="M639" s="205"/>
      <c r="N639" s="205"/>
      <c r="O639" s="337" t="s">
        <v>26</v>
      </c>
    </row>
    <row r="640" spans="1:17" ht="16.2"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t="s">
        <v>657</v>
      </c>
      <c r="J640" s="152" t="str">
        <f>IF(VLOOKUP(A615,'Aux - pivots1'!$A:$E,3,0)=0, "",VLOOKUP(A615,'Aux - pivots1'!$A:$E,3,0))</f>
        <v/>
      </c>
      <c r="K640" s="152" t="str">
        <f>IF(VLOOKUP(A615,'Aux - pivots1'!$A:$E,4,0)=0, "",VLOOKUP(A615,'Aux - pivots1'!$A:$E,4,0))</f>
        <v/>
      </c>
      <c r="L640" s="152" t="str">
        <f>IF(VLOOKUP(A615,'Aux - pivots1'!$A:$E,5,0)=0, "",VLOOKUP(A615,'Aux - pivots1'!$A:$E,5,0))</f>
        <v/>
      </c>
      <c r="M640" s="205"/>
      <c r="N640" s="205"/>
      <c r="O640" s="337" t="s">
        <v>26</v>
      </c>
    </row>
    <row r="641" spans="1:17" ht="16.2">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t="s">
        <v>657</v>
      </c>
      <c r="J641" s="152" t="str">
        <f>IF(VLOOKUP(A616,'Aux - pivots1'!$A:$E,3,0)=0, "",VLOOKUP(A616,'Aux - pivots1'!$A:$E,3,0))</f>
        <v/>
      </c>
      <c r="K641" s="152" t="str">
        <f>IF(VLOOKUP(A616,'Aux - pivots1'!$A:$E,4,0)=0, "",VLOOKUP(A616,'Aux - pivots1'!$A:$E,4,0))</f>
        <v/>
      </c>
      <c r="L641" s="152" t="str">
        <f>IF(VLOOKUP(A616,'Aux - pivots1'!$A:$E,5,0)=0, "",VLOOKUP(A616,'Aux - pivots1'!$A:$E,5,0))</f>
        <v/>
      </c>
      <c r="M641" s="205"/>
      <c r="N641" s="205"/>
      <c r="O641" s="337" t="s">
        <v>26</v>
      </c>
    </row>
    <row r="642" spans="1:17" ht="16.2">
      <c r="A642" s="29" t="str">
        <f t="shared" si="10"/>
        <v>lt003_entityeqty</v>
      </c>
      <c r="B642" s="141" t="s">
        <v>26</v>
      </c>
      <c r="C642" s="137" t="s">
        <v>26</v>
      </c>
      <c r="D642" s="133" t="s">
        <v>40</v>
      </c>
      <c r="E642" s="136" t="s">
        <v>335</v>
      </c>
      <c r="F642" s="136" t="s">
        <v>430</v>
      </c>
      <c r="G642" s="135" t="str">
        <f>VLOOKUP(A642,Plano_V3!$A$26:$G$753,7,0)</f>
        <v>1. Concluído</v>
      </c>
      <c r="H642" s="135" t="s">
        <v>612</v>
      </c>
      <c r="I642" s="142" t="s">
        <v>657</v>
      </c>
      <c r="J642" s="152" t="str">
        <f>IF(VLOOKUP(A617,'Aux - pivots1'!$A:$E,3,0)=0, "",VLOOKUP(A617,'Aux - pivots1'!$A:$E,3,0))</f>
        <v/>
      </c>
      <c r="K642" s="152" t="str">
        <f>IF(VLOOKUP(A617,'Aux - pivots1'!$A:$E,4,0)=0, "",VLOOKUP(A617,'Aux - pivots1'!$A:$E,4,0))</f>
        <v/>
      </c>
      <c r="L642" s="152" t="str">
        <f>IF(VLOOKUP(A617,'Aux - pivots1'!$A:$E,5,0)=0, "",VLOOKUP(A617,'Aux - pivots1'!$A:$E,5,0))</f>
        <v/>
      </c>
      <c r="M642" s="205"/>
      <c r="N642" s="205"/>
      <c r="O642" s="337" t="s">
        <v>26</v>
      </c>
    </row>
    <row r="643" spans="1:17" ht="16.2"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t="s">
        <v>657</v>
      </c>
      <c r="J643" s="152" t="str">
        <f>IF(VLOOKUP(A634,'Aux - pivots1'!$A:$E,3,0)=0, "",VLOOKUP(A634,'Aux - pivots1'!$A:$E,3,0))</f>
        <v/>
      </c>
      <c r="K643" s="152" t="str">
        <f>IF(VLOOKUP(A634,'Aux - pivots1'!$A:$E,4,0)=0, "",VLOOKUP(A634,'Aux - pivots1'!$A:$E,4,0))</f>
        <v/>
      </c>
      <c r="L643" s="152" t="str">
        <f>IF(VLOOKUP(A634,'Aux - pivots1'!$A:$E,5,0)=0, "",VLOOKUP(A634,'Aux - pivots1'!$A:$E,5,0))</f>
        <v/>
      </c>
      <c r="M643" s="205"/>
      <c r="N643" s="205"/>
      <c r="O643" s="337" t="s">
        <v>26</v>
      </c>
    </row>
    <row r="644" spans="1:17" ht="16.2"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t="s">
        <v>657</v>
      </c>
      <c r="J644" s="152" t="str">
        <f>IF(VLOOKUP(A618,'Aux - pivots1'!$A:$E,3,0)=0, "",VLOOKUP(A618,'Aux - pivots1'!$A:$E,3,0))</f>
        <v/>
      </c>
      <c r="K644" s="152" t="str">
        <f>IF(VLOOKUP(A618,'Aux - pivots1'!$A:$E,4,0)=0, "",VLOOKUP(A618,'Aux - pivots1'!$A:$E,4,0))</f>
        <v/>
      </c>
      <c r="L644" s="152" t="str">
        <f>IF(VLOOKUP(A618,'Aux - pivots1'!$A:$E,5,0)=0, "",VLOOKUP(A618,'Aux - pivots1'!$A:$E,5,0))</f>
        <v/>
      </c>
      <c r="M644" s="205"/>
      <c r="N644" s="205"/>
      <c r="O644" s="337" t="s">
        <v>26</v>
      </c>
    </row>
    <row r="645" spans="1:17" ht="16.2"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t="s">
        <v>657</v>
      </c>
      <c r="J645" s="152" t="str">
        <f>IF(VLOOKUP(A619,'Aux - pivots1'!$A:$E,3,0)=0, "",VLOOKUP(A619,'Aux - pivots1'!$A:$E,3,0))</f>
        <v/>
      </c>
      <c r="K645" s="152" t="str">
        <f>IF(VLOOKUP(A619,'Aux - pivots1'!$A:$E,4,0)=0, "",VLOOKUP(A619,'Aux - pivots1'!$A:$E,4,0))</f>
        <v/>
      </c>
      <c r="L645" s="152" t="str">
        <f>IF(VLOOKUP(A619,'Aux - pivots1'!$A:$E,5,0)=0, "",VLOOKUP(A619,'Aux - pivots1'!$A:$E,5,0))</f>
        <v/>
      </c>
      <c r="M645" s="205"/>
      <c r="N645" s="205"/>
      <c r="O645" s="337" t="s">
        <v>26</v>
      </c>
    </row>
    <row r="646" spans="1:17" ht="16.2" customHeight="1">
      <c r="A646" s="29" t="str">
        <f t="shared" si="10"/>
        <v>lt003_entityentty_nm</v>
      </c>
      <c r="B646" s="141" t="s">
        <v>26</v>
      </c>
      <c r="C646" s="137" t="s">
        <v>26</v>
      </c>
      <c r="D646" s="133" t="s">
        <v>40</v>
      </c>
      <c r="E646" s="136" t="s">
        <v>335</v>
      </c>
      <c r="F646" s="428" t="s">
        <v>2256</v>
      </c>
      <c r="G646" s="135" t="str">
        <f>VLOOKUP(A646,Plano_V3!$A$26:$G$753,7,0)</f>
        <v>7. Por iniciar</v>
      </c>
      <c r="H646" s="135"/>
      <c r="I646" s="480" t="s">
        <v>2304</v>
      </c>
      <c r="J646" s="152" t="str">
        <f>IF(VLOOKUP(A646,'Aux - pivots1'!$A:$E,3,0)=0, "",VLOOKUP(A646,'Aux - pivots1'!$A:$E,3,0))</f>
        <v/>
      </c>
      <c r="K646" s="152" t="str">
        <f>IF(VLOOKUP(A646,'Aux - pivots1'!$A:$E,4,0)=0, "",VLOOKUP(A646,'Aux - pivots1'!$A:$E,4,0))</f>
        <v/>
      </c>
      <c r="L646" s="152" t="str">
        <f>IF(VLOOKUP(A646,'Aux - pivots1'!$A:$E,5,0)=0, "",VLOOKUP(A646,'Aux - pivots1'!$A:$E,5,0))</f>
        <v/>
      </c>
      <c r="M646" s="205"/>
      <c r="N646" s="205"/>
      <c r="O646" s="337" t="s">
        <v>26</v>
      </c>
      <c r="Q646" s="268" t="s">
        <v>1883</v>
      </c>
    </row>
    <row r="647" spans="1:17" ht="16.2" customHeight="1">
      <c r="A647" s="29" t="str">
        <f t="shared" si="10"/>
        <v>lt003_entityec_grp_id</v>
      </c>
      <c r="B647" s="141" t="s">
        <v>26</v>
      </c>
      <c r="C647" s="137" t="s">
        <v>26</v>
      </c>
      <c r="D647" s="133" t="s">
        <v>40</v>
      </c>
      <c r="E647" s="136" t="s">
        <v>335</v>
      </c>
      <c r="F647" s="428" t="s">
        <v>2257</v>
      </c>
      <c r="G647" s="135" t="str">
        <f>VLOOKUP(A647,Plano_V3!$A$26:$G$753,7,0)</f>
        <v>7. Por iniciar</v>
      </c>
      <c r="H647" s="135"/>
      <c r="I647" s="480" t="s">
        <v>2305</v>
      </c>
      <c r="J647" s="152" t="str">
        <f>IF(VLOOKUP(A647,'Aux - pivots1'!$A:$E,3,0)=0, "",VLOOKUP(A647,'Aux - pivots1'!$A:$E,3,0))</f>
        <v/>
      </c>
      <c r="K647" s="152" t="str">
        <f>IF(VLOOKUP(A647,'Aux - pivots1'!$A:$E,4,0)=0, "",VLOOKUP(A647,'Aux - pivots1'!$A:$E,4,0))</f>
        <v/>
      </c>
      <c r="L647" s="152" t="str">
        <f>IF(VLOOKUP(A647,'Aux - pivots1'!$A:$E,5,0)=0, "",VLOOKUP(A647,'Aux - pivots1'!$A:$E,5,0))</f>
        <v/>
      </c>
      <c r="M647" s="205"/>
      <c r="N647" s="205"/>
      <c r="O647" s="337"/>
      <c r="Q647" s="268" t="s">
        <v>1883</v>
      </c>
    </row>
    <row r="648" spans="1:17" ht="16.2" customHeight="1">
      <c r="A648" s="29" t="str">
        <f t="shared" si="10"/>
        <v>lt003_entityec_grp_nm</v>
      </c>
      <c r="B648" s="141" t="s">
        <v>26</v>
      </c>
      <c r="C648" s="137" t="s">
        <v>26</v>
      </c>
      <c r="D648" s="133" t="s">
        <v>40</v>
      </c>
      <c r="E648" s="136" t="s">
        <v>335</v>
      </c>
      <c r="F648" s="428" t="s">
        <v>2258</v>
      </c>
      <c r="G648" s="135" t="str">
        <f>VLOOKUP(A648,Plano_V3!$A$26:$G$753,7,0)</f>
        <v>7. Por iniciar</v>
      </c>
      <c r="H648" s="135"/>
      <c r="I648" s="480" t="s">
        <v>2306</v>
      </c>
      <c r="J648" s="152" t="str">
        <f>IF(VLOOKUP(A648,'Aux - pivots1'!$A:$E,3,0)=0, "",VLOOKUP(A648,'Aux - pivots1'!$A:$E,3,0))</f>
        <v/>
      </c>
      <c r="K648" s="152" t="str">
        <f>IF(VLOOKUP(A648,'Aux - pivots1'!$A:$E,4,0)=0, "",VLOOKUP(A648,'Aux - pivots1'!$A:$E,4,0))</f>
        <v/>
      </c>
      <c r="L648" s="152" t="str">
        <f>IF(VLOOKUP(A648,'Aux - pivots1'!$A:$E,5,0)=0, "",VLOOKUP(A648,'Aux - pivots1'!$A:$E,5,0))</f>
        <v/>
      </c>
      <c r="M648" s="205"/>
      <c r="N648" s="205"/>
      <c r="O648" s="337"/>
      <c r="Q648" s="268" t="s">
        <v>1883</v>
      </c>
    </row>
    <row r="649" spans="1:17" ht="16.2" customHeight="1">
      <c r="A649" s="29" t="str">
        <f t="shared" si="10"/>
        <v>lt003_entitygrp_ecnmc_actvty</v>
      </c>
      <c r="B649" s="141" t="s">
        <v>26</v>
      </c>
      <c r="C649" s="137" t="s">
        <v>26</v>
      </c>
      <c r="D649" s="133" t="s">
        <v>40</v>
      </c>
      <c r="E649" s="136" t="s">
        <v>335</v>
      </c>
      <c r="F649" s="428" t="s">
        <v>2259</v>
      </c>
      <c r="G649" s="135" t="str">
        <f>VLOOKUP(A649,Plano_V3!$A$26:$G$753,7,0)</f>
        <v>7. Por iniciar</v>
      </c>
      <c r="H649" s="135"/>
      <c r="I649" s="480" t="s">
        <v>2304</v>
      </c>
      <c r="J649" s="152" t="str">
        <f>IF(VLOOKUP(A649,'Aux - pivots1'!$A:$E,3,0)=0, "",VLOOKUP(A649,'Aux - pivots1'!$A:$E,3,0))</f>
        <v/>
      </c>
      <c r="K649" s="152" t="str">
        <f>IF(VLOOKUP(A649,'Aux - pivots1'!$A:$E,4,0)=0, "",VLOOKUP(A649,'Aux - pivots1'!$A:$E,4,0))</f>
        <v/>
      </c>
      <c r="L649" s="152" t="str">
        <f>IF(VLOOKUP(A649,'Aux - pivots1'!$A:$E,5,0)=0, "",VLOOKUP(A649,'Aux - pivots1'!$A:$E,5,0))</f>
        <v/>
      </c>
      <c r="M649" s="205"/>
      <c r="N649" s="205"/>
      <c r="O649" s="337"/>
      <c r="Q649" s="268" t="s">
        <v>1883</v>
      </c>
    </row>
    <row r="650" spans="1:17" ht="16.2" customHeight="1">
      <c r="A650" s="29" t="str">
        <f t="shared" si="10"/>
        <v>lt003_entitytxnmy_elgbl_capex_w</v>
      </c>
      <c r="B650" s="141" t="s">
        <v>26</v>
      </c>
      <c r="C650" s="137" t="s">
        <v>26</v>
      </c>
      <c r="D650" s="133" t="s">
        <v>40</v>
      </c>
      <c r="E650" s="136" t="s">
        <v>335</v>
      </c>
      <c r="F650" s="428" t="s">
        <v>2260</v>
      </c>
      <c r="G650" s="135" t="str">
        <f>VLOOKUP(A650,Plano_V3!$A$26:$G$753,7,0)</f>
        <v>1. Concluído</v>
      </c>
      <c r="H650" s="135"/>
      <c r="I650" s="480" t="s">
        <v>2307</v>
      </c>
      <c r="J650" s="152" t="str">
        <f>IF(VLOOKUP(A650,'Aux - pivots1'!$A:$E,3,0)=0, "",VLOOKUP(A650,'Aux - pivots1'!$A:$E,3,0))</f>
        <v/>
      </c>
      <c r="K650" s="152" t="str">
        <f>IF(VLOOKUP(A650,'Aux - pivots1'!$A:$E,4,0)=0, "",VLOOKUP(A650,'Aux - pivots1'!$A:$E,4,0))</f>
        <v/>
      </c>
      <c r="L650" s="152" t="str">
        <f>IF(VLOOKUP(A650,'Aux - pivots1'!$A:$E,5,0)=0, "",VLOOKUP(A650,'Aux - pivots1'!$A:$E,5,0))</f>
        <v/>
      </c>
      <c r="M650" s="205"/>
      <c r="N650" s="205"/>
      <c r="O650" s="337"/>
      <c r="Q650" s="268" t="s">
        <v>1883</v>
      </c>
    </row>
    <row r="651" spans="1:17" ht="16.2" customHeight="1">
      <c r="A651" s="29" t="str">
        <f t="shared" si="10"/>
        <v>lt003_entitytxnmy_elgbl_trnvr_w</v>
      </c>
      <c r="B651" s="141" t="s">
        <v>26</v>
      </c>
      <c r="C651" s="137" t="s">
        <v>26</v>
      </c>
      <c r="D651" s="133" t="s">
        <v>40</v>
      </c>
      <c r="E651" s="136" t="s">
        <v>335</v>
      </c>
      <c r="F651" s="428" t="s">
        <v>2261</v>
      </c>
      <c r="G651" s="135" t="str">
        <f>VLOOKUP(A651,Plano_V3!$A$26:$G$753,7,0)</f>
        <v>1. Concluído</v>
      </c>
      <c r="H651" s="135"/>
      <c r="I651" s="480" t="s">
        <v>2307</v>
      </c>
      <c r="J651" s="152" t="str">
        <f>IF(VLOOKUP(A651,'Aux - pivots1'!$A:$E,3,0)=0, "",VLOOKUP(A651,'Aux - pivots1'!$A:$E,3,0))</f>
        <v/>
      </c>
      <c r="K651" s="152" t="str">
        <f>IF(VLOOKUP(A651,'Aux - pivots1'!$A:$E,4,0)=0, "",VLOOKUP(A651,'Aux - pivots1'!$A:$E,4,0))</f>
        <v/>
      </c>
      <c r="L651" s="152" t="str">
        <f>IF(VLOOKUP(A651,'Aux - pivots1'!$A:$E,5,0)=0, "",VLOOKUP(A651,'Aux - pivots1'!$A:$E,5,0))</f>
        <v/>
      </c>
      <c r="M651" s="205"/>
      <c r="N651" s="205"/>
      <c r="O651" s="337" t="s">
        <v>26</v>
      </c>
      <c r="Q651" s="268" t="s">
        <v>1883</v>
      </c>
    </row>
    <row r="652" spans="1:17" ht="16.2" customHeight="1">
      <c r="A652" s="29" t="str">
        <f t="shared" si="10"/>
        <v>lt003_entitytxnmy_elgbl_capex_p</v>
      </c>
      <c r="B652" s="141" t="s">
        <v>26</v>
      </c>
      <c r="C652" s="137" t="s">
        <v>26</v>
      </c>
      <c r="D652" s="133" t="s">
        <v>40</v>
      </c>
      <c r="E652" s="136" t="s">
        <v>335</v>
      </c>
      <c r="F652" s="428" t="s">
        <v>2262</v>
      </c>
      <c r="G652" s="135" t="str">
        <f>VLOOKUP(A652,Plano_V3!$A$26:$G$753,7,0)</f>
        <v>1. Concluído</v>
      </c>
      <c r="H652" s="135"/>
      <c r="I652" s="480" t="s">
        <v>2307</v>
      </c>
      <c r="J652" s="152" t="str">
        <f>IF(VLOOKUP(A652,'Aux - pivots1'!$A:$E,3,0)=0, "",VLOOKUP(A652,'Aux - pivots1'!$A:$E,3,0))</f>
        <v/>
      </c>
      <c r="K652" s="152" t="str">
        <f>IF(VLOOKUP(A652,'Aux - pivots1'!$A:$E,4,0)=0, "",VLOOKUP(A652,'Aux - pivots1'!$A:$E,4,0))</f>
        <v/>
      </c>
      <c r="L652" s="152" t="str">
        <f>IF(VLOOKUP(A652,'Aux - pivots1'!$A:$E,5,0)=0, "",VLOOKUP(A652,'Aux - pivots1'!$A:$E,5,0))</f>
        <v/>
      </c>
      <c r="M652" s="205"/>
      <c r="N652" s="205"/>
      <c r="O652" s="337" t="s">
        <v>26</v>
      </c>
      <c r="Q652" s="268" t="s">
        <v>1883</v>
      </c>
    </row>
    <row r="653" spans="1:17" ht="16.2" customHeight="1">
      <c r="A653" s="29" t="str">
        <f t="shared" si="10"/>
        <v>lt003_entitytxnmy_elgbl_trnvr_p</v>
      </c>
      <c r="B653" s="141" t="s">
        <v>26</v>
      </c>
      <c r="C653" s="137" t="s">
        <v>26</v>
      </c>
      <c r="D653" s="133" t="s">
        <v>40</v>
      </c>
      <c r="E653" s="136" t="s">
        <v>335</v>
      </c>
      <c r="F653" s="428" t="s">
        <v>2263</v>
      </c>
      <c r="G653" s="135" t="str">
        <f>VLOOKUP(A653,Plano_V3!$A$26:$G$753,7,0)</f>
        <v>1. Concluído</v>
      </c>
      <c r="H653" s="135"/>
      <c r="I653" s="480" t="s">
        <v>2307</v>
      </c>
      <c r="J653" s="152" t="str">
        <f>IF(VLOOKUP(A653,'Aux - pivots1'!$A:$E,3,0)=0, "",VLOOKUP(A653,'Aux - pivots1'!$A:$E,3,0))</f>
        <v/>
      </c>
      <c r="K653" s="152" t="str">
        <f>IF(VLOOKUP(A653,'Aux - pivots1'!$A:$E,4,0)=0, "",VLOOKUP(A653,'Aux - pivots1'!$A:$E,4,0))</f>
        <v/>
      </c>
      <c r="L653" s="152" t="str">
        <f>IF(VLOOKUP(A653,'Aux - pivots1'!$A:$E,5,0)=0, "",VLOOKUP(A653,'Aux - pivots1'!$A:$E,5,0))</f>
        <v/>
      </c>
      <c r="M653" s="205"/>
      <c r="N653" s="205"/>
      <c r="O653" s="337" t="s">
        <v>26</v>
      </c>
      <c r="Q653" s="268" t="s">
        <v>1883</v>
      </c>
    </row>
    <row r="654" spans="1:17" ht="16.2" customHeight="1">
      <c r="A654" s="29" t="str">
        <f t="shared" si="10"/>
        <v>lt003_entitytxnmy_elgbl_capex_b</v>
      </c>
      <c r="B654" s="141" t="s">
        <v>26</v>
      </c>
      <c r="C654" s="137" t="s">
        <v>26</v>
      </c>
      <c r="D654" s="133" t="s">
        <v>40</v>
      </c>
      <c r="E654" s="136" t="s">
        <v>335</v>
      </c>
      <c r="F654" s="428" t="s">
        <v>2264</v>
      </c>
      <c r="G654" s="135" t="str">
        <f>VLOOKUP(A654,Plano_V3!$A$26:$G$753,7,0)</f>
        <v>1. Concluído</v>
      </c>
      <c r="H654" s="135"/>
      <c r="I654" s="480" t="s">
        <v>2307</v>
      </c>
      <c r="J654" s="152" t="str">
        <f>IF(VLOOKUP(A654,'Aux - pivots1'!$A:$E,3,0)=0, "",VLOOKUP(A654,'Aux - pivots1'!$A:$E,3,0))</f>
        <v/>
      </c>
      <c r="K654" s="152" t="str">
        <f>IF(VLOOKUP(A654,'Aux - pivots1'!$A:$E,4,0)=0, "",VLOOKUP(A654,'Aux - pivots1'!$A:$E,4,0))</f>
        <v/>
      </c>
      <c r="L654" s="152" t="str">
        <f>IF(VLOOKUP(A654,'Aux - pivots1'!$A:$E,5,0)=0, "",VLOOKUP(A654,'Aux - pivots1'!$A:$E,5,0))</f>
        <v/>
      </c>
      <c r="M654" s="205"/>
      <c r="N654" s="205"/>
      <c r="O654" s="337" t="s">
        <v>26</v>
      </c>
      <c r="Q654" s="268" t="s">
        <v>1883</v>
      </c>
    </row>
    <row r="655" spans="1:17" ht="16.2" customHeight="1">
      <c r="A655" s="29" t="str">
        <f t="shared" si="10"/>
        <v>lt003_entitytxnmy_elgbl_trnvr_b</v>
      </c>
      <c r="B655" s="141" t="s">
        <v>26</v>
      </c>
      <c r="C655" s="137" t="s">
        <v>26</v>
      </c>
      <c r="D655" s="133" t="s">
        <v>40</v>
      </c>
      <c r="E655" s="136" t="s">
        <v>335</v>
      </c>
      <c r="F655" s="428" t="s">
        <v>2265</v>
      </c>
      <c r="G655" s="135" t="str">
        <f>VLOOKUP(A655,Plano_V3!$A$26:$G$753,7,0)</f>
        <v>1. Concluído</v>
      </c>
      <c r="H655" s="135"/>
      <c r="I655" s="480" t="s">
        <v>2307</v>
      </c>
      <c r="J655" s="152" t="str">
        <f>IF(VLOOKUP(A655,'Aux - pivots1'!$A:$E,3,0)=0, "",VLOOKUP(A655,'Aux - pivots1'!$A:$E,3,0))</f>
        <v/>
      </c>
      <c r="K655" s="152" t="str">
        <f>IF(VLOOKUP(A655,'Aux - pivots1'!$A:$E,4,0)=0, "",VLOOKUP(A655,'Aux - pivots1'!$A:$E,4,0))</f>
        <v/>
      </c>
      <c r="L655" s="152" t="str">
        <f>IF(VLOOKUP(A655,'Aux - pivots1'!$A:$E,5,0)=0, "",VLOOKUP(A655,'Aux - pivots1'!$A:$E,5,0))</f>
        <v/>
      </c>
      <c r="M655" s="205"/>
      <c r="N655" s="205"/>
      <c r="O655" s="337" t="s">
        <v>26</v>
      </c>
      <c r="Q655" s="268" t="s">
        <v>1883</v>
      </c>
    </row>
    <row r="656" spans="1:17" ht="16.2" customHeight="1">
      <c r="A656" s="29" t="str">
        <f t="shared" si="10"/>
        <v>lt003_entitytxnmy_elgbl_capex_ce</v>
      </c>
      <c r="B656" s="141" t="s">
        <v>26</v>
      </c>
      <c r="C656" s="137" t="s">
        <v>26</v>
      </c>
      <c r="D656" s="133" t="s">
        <v>40</v>
      </c>
      <c r="E656" s="136" t="s">
        <v>335</v>
      </c>
      <c r="F656" s="428" t="s">
        <v>2266</v>
      </c>
      <c r="G656" s="135" t="str">
        <f>VLOOKUP(A656,Plano_V3!$A$26:$G$753,7,0)</f>
        <v>1. Concluído</v>
      </c>
      <c r="H656" s="135"/>
      <c r="I656" s="480" t="s">
        <v>2307</v>
      </c>
      <c r="J656" s="152" t="str">
        <f>IF(VLOOKUP(A656,'Aux - pivots1'!$A:$E,3,0)=0, "",VLOOKUP(A656,'Aux - pivots1'!$A:$E,3,0))</f>
        <v/>
      </c>
      <c r="K656" s="152" t="str">
        <f>IF(VLOOKUP(A656,'Aux - pivots1'!$A:$E,4,0)=0, "",VLOOKUP(A656,'Aux - pivots1'!$A:$E,4,0))</f>
        <v/>
      </c>
      <c r="L656" s="152" t="str">
        <f>IF(VLOOKUP(A656,'Aux - pivots1'!$A:$E,5,0)=0, "",VLOOKUP(A656,'Aux - pivots1'!$A:$E,5,0))</f>
        <v/>
      </c>
      <c r="M656" s="205"/>
      <c r="N656" s="205"/>
      <c r="O656" s="337" t="s">
        <v>26</v>
      </c>
      <c r="Q656" s="268" t="s">
        <v>1883</v>
      </c>
    </row>
    <row r="657" spans="1:17" ht="16.2" customHeight="1">
      <c r="A657" s="29" t="str">
        <f t="shared" si="10"/>
        <v>lt003_entitytxnmy_elgbl_trnvr_ce</v>
      </c>
      <c r="B657" s="141" t="s">
        <v>26</v>
      </c>
      <c r="C657" s="137" t="s">
        <v>26</v>
      </c>
      <c r="D657" s="133" t="s">
        <v>40</v>
      </c>
      <c r="E657" s="136" t="s">
        <v>335</v>
      </c>
      <c r="F657" s="428" t="s">
        <v>2267</v>
      </c>
      <c r="G657" s="135" t="str">
        <f>VLOOKUP(A657,Plano_V3!$A$26:$G$753,7,0)</f>
        <v>1. Concluído</v>
      </c>
      <c r="H657" s="135"/>
      <c r="I657" s="480" t="s">
        <v>2307</v>
      </c>
      <c r="J657" s="152" t="str">
        <f>IF(VLOOKUP(A657,'Aux - pivots1'!$A:$E,3,0)=0, "",VLOOKUP(A657,'Aux - pivots1'!$A:$E,3,0))</f>
        <v/>
      </c>
      <c r="K657" s="152" t="str">
        <f>IF(VLOOKUP(A657,'Aux - pivots1'!$A:$E,4,0)=0, "",VLOOKUP(A657,'Aux - pivots1'!$A:$E,4,0))</f>
        <v/>
      </c>
      <c r="L657" s="152" t="str">
        <f>IF(VLOOKUP(A657,'Aux - pivots1'!$A:$E,5,0)=0, "",VLOOKUP(A657,'Aux - pivots1'!$A:$E,5,0))</f>
        <v/>
      </c>
      <c r="M657" s="205"/>
      <c r="N657" s="205"/>
      <c r="O657" s="337" t="s">
        <v>26</v>
      </c>
      <c r="Q657" s="268" t="s">
        <v>1883</v>
      </c>
    </row>
    <row r="658" spans="1:17" ht="16.2" customHeight="1">
      <c r="A658" s="29" t="str">
        <f t="shared" si="10"/>
        <v>lt003_entitypure_capex_p</v>
      </c>
      <c r="B658" s="141" t="s">
        <v>26</v>
      </c>
      <c r="C658" s="137" t="s">
        <v>26</v>
      </c>
      <c r="D658" s="133" t="s">
        <v>40</v>
      </c>
      <c r="E658" s="136" t="s">
        <v>335</v>
      </c>
      <c r="F658" s="428" t="s">
        <v>2268</v>
      </c>
      <c r="G658" s="135" t="str">
        <f>VLOOKUP(A658,Plano_V3!$A$26:$G$753,7,0)</f>
        <v>1. Concluído</v>
      </c>
      <c r="H658" s="135"/>
      <c r="I658" s="480" t="s">
        <v>2307</v>
      </c>
      <c r="J658" s="152" t="str">
        <f>IF(VLOOKUP(A658,'Aux - pivots1'!$A:$E,3,0)=0, "",VLOOKUP(A658,'Aux - pivots1'!$A:$E,3,0))</f>
        <v/>
      </c>
      <c r="K658" s="152" t="str">
        <f>IF(VLOOKUP(A658,'Aux - pivots1'!$A:$E,4,0)=0, "",VLOOKUP(A658,'Aux - pivots1'!$A:$E,4,0))</f>
        <v/>
      </c>
      <c r="L658" s="152" t="str">
        <f>IF(VLOOKUP(A658,'Aux - pivots1'!$A:$E,5,0)=0, "",VLOOKUP(A658,'Aux - pivots1'!$A:$E,5,0))</f>
        <v/>
      </c>
      <c r="M658" s="205"/>
      <c r="N658" s="205"/>
      <c r="O658" s="337" t="s">
        <v>26</v>
      </c>
      <c r="Q658" s="268" t="s">
        <v>1883</v>
      </c>
    </row>
    <row r="659" spans="1:17" ht="16.2" customHeight="1">
      <c r="A659" s="29" t="str">
        <f t="shared" si="10"/>
        <v>lt003_entitypure_trnvr_p</v>
      </c>
      <c r="B659" s="141" t="s">
        <v>26</v>
      </c>
      <c r="C659" s="137" t="s">
        <v>26</v>
      </c>
      <c r="D659" s="133" t="s">
        <v>40</v>
      </c>
      <c r="E659" s="136" t="s">
        <v>335</v>
      </c>
      <c r="F659" s="428" t="s">
        <v>2269</v>
      </c>
      <c r="G659" s="135" t="str">
        <f>VLOOKUP(A659,Plano_V3!$A$26:$G$753,7,0)</f>
        <v>1. Concluído</v>
      </c>
      <c r="H659" s="135"/>
      <c r="I659" s="480" t="s">
        <v>2307</v>
      </c>
      <c r="J659" s="152" t="str">
        <f>IF(VLOOKUP(A659,'Aux - pivots1'!$A:$E,3,0)=0, "",VLOOKUP(A659,'Aux - pivots1'!$A:$E,3,0))</f>
        <v/>
      </c>
      <c r="K659" s="152" t="str">
        <f>IF(VLOOKUP(A659,'Aux - pivots1'!$A:$E,4,0)=0, "",VLOOKUP(A659,'Aux - pivots1'!$A:$E,4,0))</f>
        <v/>
      </c>
      <c r="L659" s="152" t="str">
        <f>IF(VLOOKUP(A659,'Aux - pivots1'!$A:$E,5,0)=0, "",VLOOKUP(A659,'Aux - pivots1'!$A:$E,5,0))</f>
        <v/>
      </c>
      <c r="M659" s="205"/>
      <c r="N659" s="205"/>
      <c r="O659" s="337" t="s">
        <v>26</v>
      </c>
      <c r="Q659" s="268" t="s">
        <v>1883</v>
      </c>
    </row>
    <row r="660" spans="1:17" ht="16.2" customHeight="1">
      <c r="A660" s="29" t="str">
        <f t="shared" si="10"/>
        <v>lt003_entitypure_capex_b</v>
      </c>
      <c r="B660" s="141" t="s">
        <v>26</v>
      </c>
      <c r="C660" s="137" t="s">
        <v>26</v>
      </c>
      <c r="D660" s="133" t="s">
        <v>40</v>
      </c>
      <c r="E660" s="136" t="s">
        <v>335</v>
      </c>
      <c r="F660" s="428" t="s">
        <v>2270</v>
      </c>
      <c r="G660" s="135" t="str">
        <f>VLOOKUP(A660,Plano_V3!$A$26:$G$753,7,0)</f>
        <v>1. Concluído</v>
      </c>
      <c r="H660" s="135"/>
      <c r="I660" s="480" t="s">
        <v>2307</v>
      </c>
      <c r="J660" s="152" t="str">
        <f>IF(VLOOKUP(A660,'Aux - pivots1'!$A:$E,3,0)=0, "",VLOOKUP(A660,'Aux - pivots1'!$A:$E,3,0))</f>
        <v/>
      </c>
      <c r="K660" s="152" t="str">
        <f>IF(VLOOKUP(A660,'Aux - pivots1'!$A:$E,4,0)=0, "",VLOOKUP(A660,'Aux - pivots1'!$A:$E,4,0))</f>
        <v/>
      </c>
      <c r="L660" s="152" t="str">
        <f>IF(VLOOKUP(A660,'Aux - pivots1'!$A:$E,5,0)=0, "",VLOOKUP(A660,'Aux - pivots1'!$A:$E,5,0))</f>
        <v/>
      </c>
      <c r="M660" s="205"/>
      <c r="N660" s="205"/>
      <c r="O660" s="337"/>
      <c r="Q660" s="268" t="s">
        <v>1883</v>
      </c>
    </row>
    <row r="661" spans="1:17" ht="16.2" customHeight="1">
      <c r="A661" s="29" t="str">
        <f t="shared" si="10"/>
        <v>lt003_entitypure_trnvr_b</v>
      </c>
      <c r="B661" s="141" t="s">
        <v>26</v>
      </c>
      <c r="C661" s="137" t="s">
        <v>26</v>
      </c>
      <c r="D661" s="133" t="s">
        <v>40</v>
      </c>
      <c r="E661" s="136" t="s">
        <v>335</v>
      </c>
      <c r="F661" s="428" t="s">
        <v>2271</v>
      </c>
      <c r="G661" s="135" t="str">
        <f>VLOOKUP(A661,Plano_V3!$A$26:$G$753,7,0)</f>
        <v>1. Concluído</v>
      </c>
      <c r="H661" s="135"/>
      <c r="I661" s="480" t="s">
        <v>2307</v>
      </c>
      <c r="J661" s="152" t="str">
        <f>IF(VLOOKUP(A661,'Aux - pivots1'!$A:$E,3,0)=0, "",VLOOKUP(A661,'Aux - pivots1'!$A:$E,3,0))</f>
        <v/>
      </c>
      <c r="K661" s="152" t="str">
        <f>IF(VLOOKUP(A661,'Aux - pivots1'!$A:$E,4,0)=0, "",VLOOKUP(A661,'Aux - pivots1'!$A:$E,4,0))</f>
        <v/>
      </c>
      <c r="L661" s="152" t="str">
        <f>IF(VLOOKUP(A661,'Aux - pivots1'!$A:$E,5,0)=0, "",VLOOKUP(A661,'Aux - pivots1'!$A:$E,5,0))</f>
        <v/>
      </c>
      <c r="M661" s="205"/>
      <c r="N661" s="205"/>
      <c r="O661" s="337"/>
      <c r="Q661" s="268" t="s">
        <v>1883</v>
      </c>
    </row>
    <row r="662" spans="1:17" ht="16.2" customHeight="1">
      <c r="A662" s="29" t="str">
        <f t="shared" si="10"/>
        <v>lt003_entitypure_capex_w</v>
      </c>
      <c r="B662" s="141" t="s">
        <v>26</v>
      </c>
      <c r="C662" s="137" t="s">
        <v>26</v>
      </c>
      <c r="D662" s="133" t="s">
        <v>40</v>
      </c>
      <c r="E662" s="136" t="s">
        <v>335</v>
      </c>
      <c r="F662" s="428" t="s">
        <v>2272</v>
      </c>
      <c r="G662" s="135" t="str">
        <f>VLOOKUP(A662,Plano_V3!$A$26:$G$753,7,0)</f>
        <v>1. Concluído</v>
      </c>
      <c r="H662" s="135"/>
      <c r="I662" s="480" t="s">
        <v>2307</v>
      </c>
      <c r="J662" s="152" t="str">
        <f>IF(VLOOKUP(A662,'Aux - pivots1'!$A:$E,3,0)=0, "",VLOOKUP(A662,'Aux - pivots1'!$A:$E,3,0))</f>
        <v/>
      </c>
      <c r="K662" s="152" t="str">
        <f>IF(VLOOKUP(A662,'Aux - pivots1'!$A:$E,4,0)=0, "",VLOOKUP(A662,'Aux - pivots1'!$A:$E,4,0))</f>
        <v/>
      </c>
      <c r="L662" s="152" t="str">
        <f>IF(VLOOKUP(A662,'Aux - pivots1'!$A:$E,5,0)=0, "",VLOOKUP(A662,'Aux - pivots1'!$A:$E,5,0))</f>
        <v/>
      </c>
      <c r="M662" s="205"/>
      <c r="N662" s="205"/>
      <c r="O662" s="337"/>
      <c r="Q662" s="268" t="s">
        <v>1883</v>
      </c>
    </row>
    <row r="663" spans="1:17" ht="16.2" customHeight="1">
      <c r="A663" s="29" t="str">
        <f t="shared" si="10"/>
        <v>lt003_entitypure_trnvr_w</v>
      </c>
      <c r="B663" s="141" t="s">
        <v>26</v>
      </c>
      <c r="C663" s="137" t="s">
        <v>26</v>
      </c>
      <c r="D663" s="133" t="s">
        <v>40</v>
      </c>
      <c r="E663" s="136" t="s">
        <v>335</v>
      </c>
      <c r="F663" s="428" t="s">
        <v>2273</v>
      </c>
      <c r="G663" s="135" t="str">
        <f>VLOOKUP(A663,Plano_V3!$A$26:$G$753,7,0)</f>
        <v>1. Concluído</v>
      </c>
      <c r="H663" s="135"/>
      <c r="I663" s="480" t="s">
        <v>2307</v>
      </c>
      <c r="J663" s="152" t="str">
        <f>IF(VLOOKUP(A663,'Aux - pivots1'!$A:$E,3,0)=0, "",VLOOKUP(A663,'Aux - pivots1'!$A:$E,3,0))</f>
        <v/>
      </c>
      <c r="K663" s="152" t="str">
        <f>IF(VLOOKUP(A663,'Aux - pivots1'!$A:$E,4,0)=0, "",VLOOKUP(A663,'Aux - pivots1'!$A:$E,4,0))</f>
        <v/>
      </c>
      <c r="L663" s="152" t="str">
        <f>IF(VLOOKUP(A663,'Aux - pivots1'!$A:$E,5,0)=0, "",VLOOKUP(A663,'Aux - pivots1'!$A:$E,5,0))</f>
        <v/>
      </c>
      <c r="M663" s="205"/>
      <c r="N663" s="205"/>
      <c r="O663" s="337" t="s">
        <v>26</v>
      </c>
      <c r="Q663" s="268" t="s">
        <v>1883</v>
      </c>
    </row>
    <row r="664" spans="1:17" ht="16.2" customHeight="1">
      <c r="A664" s="29" t="str">
        <f t="shared" si="10"/>
        <v>lt003_entitypure_capex_ce</v>
      </c>
      <c r="B664" s="141" t="s">
        <v>26</v>
      </c>
      <c r="C664" s="137" t="s">
        <v>26</v>
      </c>
      <c r="D664" s="133" t="s">
        <v>40</v>
      </c>
      <c r="E664" s="136" t="s">
        <v>335</v>
      </c>
      <c r="F664" s="428" t="s">
        <v>2274</v>
      </c>
      <c r="G664" s="135" t="str">
        <f>VLOOKUP(A664,Plano_V3!$A$26:$G$753,7,0)</f>
        <v>1. Concluído</v>
      </c>
      <c r="H664" s="135"/>
      <c r="I664" s="480" t="s">
        <v>2307</v>
      </c>
      <c r="J664" s="152" t="str">
        <f>IF(VLOOKUP(A664,'Aux - pivots1'!$A:$E,3,0)=0, "",VLOOKUP(A664,'Aux - pivots1'!$A:$E,3,0))</f>
        <v/>
      </c>
      <c r="K664" s="152" t="str">
        <f>IF(VLOOKUP(A664,'Aux - pivots1'!$A:$E,4,0)=0, "",VLOOKUP(A664,'Aux - pivots1'!$A:$E,4,0))</f>
        <v/>
      </c>
      <c r="L664" s="152" t="str">
        <f>IF(VLOOKUP(A664,'Aux - pivots1'!$A:$E,5,0)=0, "",VLOOKUP(A664,'Aux - pivots1'!$A:$E,5,0))</f>
        <v/>
      </c>
      <c r="M664" s="205"/>
      <c r="N664" s="205"/>
      <c r="O664" s="337" t="s">
        <v>26</v>
      </c>
      <c r="Q664" s="268" t="s">
        <v>1883</v>
      </c>
    </row>
    <row r="665" spans="1:17" ht="16.2" customHeight="1">
      <c r="A665" s="29" t="str">
        <f t="shared" si="10"/>
        <v>lt003_entitypure_trnvr_ce</v>
      </c>
      <c r="B665" s="141" t="s">
        <v>26</v>
      </c>
      <c r="C665" s="137" t="s">
        <v>26</v>
      </c>
      <c r="D665" s="133" t="s">
        <v>40</v>
      </c>
      <c r="E665" s="136" t="s">
        <v>335</v>
      </c>
      <c r="F665" s="428" t="s">
        <v>2275</v>
      </c>
      <c r="G665" s="135" t="str">
        <f>VLOOKUP(A665,Plano_V3!$A$26:$G$753,7,0)</f>
        <v>1. Concluído</v>
      </c>
      <c r="H665" s="135"/>
      <c r="I665" s="480" t="s">
        <v>2307</v>
      </c>
      <c r="J665" s="152" t="str">
        <f>IF(VLOOKUP(A665,'Aux - pivots1'!$A:$E,3,0)=0, "",VLOOKUP(A665,'Aux - pivots1'!$A:$E,3,0))</f>
        <v/>
      </c>
      <c r="K665" s="152" t="str">
        <f>IF(VLOOKUP(A665,'Aux - pivots1'!$A:$E,4,0)=0, "",VLOOKUP(A665,'Aux - pivots1'!$A:$E,4,0))</f>
        <v/>
      </c>
      <c r="L665" s="152" t="str">
        <f>IF(VLOOKUP(A665,'Aux - pivots1'!$A:$E,5,0)=0, "",VLOOKUP(A665,'Aux - pivots1'!$A:$E,5,0))</f>
        <v/>
      </c>
      <c r="M665" s="205"/>
      <c r="N665" s="205"/>
      <c r="O665" s="337" t="s">
        <v>26</v>
      </c>
      <c r="Q665" s="268" t="s">
        <v>1883</v>
      </c>
    </row>
    <row r="666" spans="1:17" ht="16.2" customHeight="1">
      <c r="A666" s="29" t="str">
        <f t="shared" si="10"/>
        <v>lt003_entityenblng_capex_w</v>
      </c>
      <c r="B666" s="141" t="s">
        <v>26</v>
      </c>
      <c r="C666" s="137" t="s">
        <v>26</v>
      </c>
      <c r="D666" s="133" t="s">
        <v>40</v>
      </c>
      <c r="E666" s="136" t="s">
        <v>335</v>
      </c>
      <c r="F666" s="428" t="s">
        <v>2276</v>
      </c>
      <c r="G666" s="135" t="str">
        <f>VLOOKUP(A666,Plano_V3!$A$26:$G$753,7,0)</f>
        <v>1. Concluído</v>
      </c>
      <c r="H666" s="135"/>
      <c r="I666" s="480" t="s">
        <v>2307</v>
      </c>
      <c r="J666" s="152" t="str">
        <f>IF(VLOOKUP(A666,'Aux - pivots1'!$A:$E,3,0)=0, "",VLOOKUP(A666,'Aux - pivots1'!$A:$E,3,0))</f>
        <v/>
      </c>
      <c r="K666" s="152" t="str">
        <f>IF(VLOOKUP(A666,'Aux - pivots1'!$A:$E,4,0)=0, "",VLOOKUP(A666,'Aux - pivots1'!$A:$E,4,0))</f>
        <v/>
      </c>
      <c r="L666" s="152" t="str">
        <f>IF(VLOOKUP(A666,'Aux - pivots1'!$A:$E,5,0)=0, "",VLOOKUP(A666,'Aux - pivots1'!$A:$E,5,0))</f>
        <v/>
      </c>
      <c r="M666" s="205"/>
      <c r="N666" s="205"/>
      <c r="O666" s="337" t="s">
        <v>26</v>
      </c>
      <c r="Q666" s="268" t="s">
        <v>1883</v>
      </c>
    </row>
    <row r="667" spans="1:17" ht="16.2" customHeight="1">
      <c r="A667" s="29" t="str">
        <f t="shared" si="10"/>
        <v>lt003_entityenblng_trnvr_w</v>
      </c>
      <c r="B667" s="141" t="s">
        <v>26</v>
      </c>
      <c r="C667" s="137" t="s">
        <v>26</v>
      </c>
      <c r="D667" s="133" t="s">
        <v>40</v>
      </c>
      <c r="E667" s="136" t="s">
        <v>335</v>
      </c>
      <c r="F667" s="428" t="s">
        <v>2277</v>
      </c>
      <c r="G667" s="135" t="str">
        <f>VLOOKUP(A667,Plano_V3!$A$26:$G$753,7,0)</f>
        <v>1. Concluído</v>
      </c>
      <c r="H667" s="135"/>
      <c r="I667" s="480" t="s">
        <v>2307</v>
      </c>
      <c r="J667" s="152" t="str">
        <f>IF(VLOOKUP(A667,'Aux - pivots1'!$A:$E,3,0)=0, "",VLOOKUP(A667,'Aux - pivots1'!$A:$E,3,0))</f>
        <v/>
      </c>
      <c r="K667" s="152" t="str">
        <f>IF(VLOOKUP(A667,'Aux - pivots1'!$A:$E,4,0)=0, "",VLOOKUP(A667,'Aux - pivots1'!$A:$E,4,0))</f>
        <v/>
      </c>
      <c r="L667" s="152" t="str">
        <f>IF(VLOOKUP(A667,'Aux - pivots1'!$A:$E,5,0)=0, "",VLOOKUP(A667,'Aux - pivots1'!$A:$E,5,0))</f>
        <v/>
      </c>
      <c r="M667" s="205"/>
      <c r="N667" s="205"/>
      <c r="O667" s="337" t="s">
        <v>26</v>
      </c>
      <c r="Q667" s="268" t="s">
        <v>1883</v>
      </c>
    </row>
    <row r="668" spans="1:17" ht="16.2" customHeight="1">
      <c r="A668" s="29" t="str">
        <f t="shared" si="10"/>
        <v>lt003_entityenblng_capex_ce</v>
      </c>
      <c r="B668" s="141" t="s">
        <v>26</v>
      </c>
      <c r="C668" s="137" t="s">
        <v>26</v>
      </c>
      <c r="D668" s="133" t="s">
        <v>40</v>
      </c>
      <c r="E668" s="136" t="s">
        <v>335</v>
      </c>
      <c r="F668" s="428" t="s">
        <v>2278</v>
      </c>
      <c r="G668" s="135" t="str">
        <f>VLOOKUP(A668,Plano_V3!$A$26:$G$753,7,0)</f>
        <v>1. Concluído</v>
      </c>
      <c r="H668" s="135"/>
      <c r="I668" s="480" t="s">
        <v>2307</v>
      </c>
      <c r="J668" s="152" t="str">
        <f>IF(VLOOKUP(A635,'Aux - pivots1'!$A:$E,3,0)=0, "",VLOOKUP(A635,'Aux - pivots1'!$A:$E,3,0))</f>
        <v/>
      </c>
      <c r="K668" s="152" t="str">
        <f>IF(VLOOKUP(A635,'Aux - pivots1'!$A:$E,4,0)=0, "",VLOOKUP(A635,'Aux - pivots1'!$A:$E,4,0))</f>
        <v/>
      </c>
      <c r="L668" s="152" t="str">
        <f>IF(VLOOKUP(A635,'Aux - pivots1'!$A:$E,5,0)=0, "",VLOOKUP(A635,'Aux - pivots1'!$A:$E,5,0))</f>
        <v/>
      </c>
      <c r="M668" s="205"/>
      <c r="N668" s="205"/>
      <c r="O668" s="337" t="s">
        <v>26</v>
      </c>
      <c r="Q668" s="268" t="s">
        <v>1883</v>
      </c>
    </row>
    <row r="669" spans="1:17" ht="16.2" customHeight="1">
      <c r="A669" s="29" t="str">
        <f t="shared" si="10"/>
        <v>lt003_entityenblng_trnvr_ce</v>
      </c>
      <c r="B669" s="141" t="s">
        <v>26</v>
      </c>
      <c r="C669" s="137" t="s">
        <v>26</v>
      </c>
      <c r="D669" s="133" t="s">
        <v>40</v>
      </c>
      <c r="E669" s="136" t="s">
        <v>335</v>
      </c>
      <c r="F669" s="428" t="s">
        <v>2279</v>
      </c>
      <c r="G669" s="135" t="str">
        <f>VLOOKUP(A669,Plano_V3!$A$26:$G$753,7,0)</f>
        <v>1. Concluído</v>
      </c>
      <c r="H669" s="135"/>
      <c r="I669" s="480" t="s">
        <v>2307</v>
      </c>
      <c r="J669" s="152" t="str">
        <f>IF(VLOOKUP(A636,'Aux - pivots1'!$A:$E,3,0)=0, "",VLOOKUP(A636,'Aux - pivots1'!$A:$E,3,0))</f>
        <v/>
      </c>
      <c r="K669" s="152" t="str">
        <f>IF(VLOOKUP(A636,'Aux - pivots1'!$A:$E,4,0)=0, "",VLOOKUP(A636,'Aux - pivots1'!$A:$E,4,0))</f>
        <v/>
      </c>
      <c r="L669" s="152" t="str">
        <f>IF(VLOOKUP(A636,'Aux - pivots1'!$A:$E,5,0)=0, "",VLOOKUP(A636,'Aux - pivots1'!$A:$E,5,0))</f>
        <v/>
      </c>
      <c r="M669" s="205"/>
      <c r="N669" s="205"/>
      <c r="O669" s="337" t="s">
        <v>26</v>
      </c>
      <c r="Q669" s="268" t="s">
        <v>1883</v>
      </c>
    </row>
    <row r="670" spans="1:17" ht="16.2"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t="s">
        <v>657</v>
      </c>
      <c r="J670" s="152" t="str">
        <f>IF(VLOOKUP(A637,'Aux - pivots1'!$A:$E,3,0)=0, "",VLOOKUP(A637,'Aux - pivots1'!$A:$E,3,0))</f>
        <v/>
      </c>
      <c r="K670" s="152" t="str">
        <f>IF(VLOOKUP(A637,'Aux - pivots1'!$A:$E,4,0)=0, "",VLOOKUP(A637,'Aux - pivots1'!$A:$E,4,0))</f>
        <v/>
      </c>
      <c r="L670" s="152" t="str">
        <f>IF(VLOOKUP(A637,'Aux - pivots1'!$A:$E,5,0)=0, "",VLOOKUP(A637,'Aux - pivots1'!$A:$E,5,0))</f>
        <v/>
      </c>
      <c r="M670" s="205"/>
      <c r="N670" s="205"/>
      <c r="O670" s="337" t="s">
        <v>26</v>
      </c>
    </row>
    <row r="671" spans="1:17" ht="16.2"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t="s">
        <v>657</v>
      </c>
      <c r="J671" s="152" t="str">
        <f>IF(VLOOKUP(A638,'Aux - pivots1'!$A:$E,3,0)=0, "",VLOOKUP(A638,'Aux - pivots1'!$A:$E,3,0))</f>
        <v/>
      </c>
      <c r="K671" s="152" t="str">
        <f>IF(VLOOKUP(A638,'Aux - pivots1'!$A:$E,4,0)=0, "",VLOOKUP(A638,'Aux - pivots1'!$A:$E,4,0))</f>
        <v/>
      </c>
      <c r="L671" s="152" t="str">
        <f>IF(VLOOKUP(A638,'Aux - pivots1'!$A:$E,5,0)=0, "",VLOOKUP(A638,'Aux - pivots1'!$A:$E,5,0))</f>
        <v/>
      </c>
      <c r="M671" s="205">
        <v>45588</v>
      </c>
      <c r="N671" s="205"/>
      <c r="O671" s="337" t="s">
        <v>26</v>
      </c>
    </row>
    <row r="672" spans="1:17" ht="16.2"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t="s">
        <v>657</v>
      </c>
      <c r="J672" s="152" t="str">
        <f>IF(VLOOKUP(A639,'Aux - pivots1'!$A:$E,3,0)=0, "",VLOOKUP(A639,'Aux - pivots1'!$A:$E,3,0))</f>
        <v/>
      </c>
      <c r="K672" s="152" t="str">
        <f>IF(VLOOKUP(A639,'Aux - pivots1'!$A:$E,4,0)=0, "",VLOOKUP(A639,'Aux - pivots1'!$A:$E,4,0))</f>
        <v/>
      </c>
      <c r="L672" s="152" t="str">
        <f>IF(VLOOKUP(A639,'Aux - pivots1'!$A:$E,5,0)=0, "",VLOOKUP(A639,'Aux - pivots1'!$A:$E,5,0))</f>
        <v/>
      </c>
      <c r="M672" s="205">
        <v>45588</v>
      </c>
      <c r="N672" s="205"/>
      <c r="O672" s="337" t="s">
        <v>26</v>
      </c>
    </row>
    <row r="673" spans="1:17" ht="16.2"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t="s">
        <v>657</v>
      </c>
      <c r="J673" s="152" t="str">
        <f>IF(VLOOKUP(A640,'Aux - pivots1'!$A:$E,3,0)=0, "",VLOOKUP(A640,'Aux - pivots1'!$A:$E,3,0))</f>
        <v/>
      </c>
      <c r="K673" s="152" t="str">
        <f>IF(VLOOKUP(A640,'Aux - pivots1'!$A:$E,4,0)=0, "",VLOOKUP(A640,'Aux - pivots1'!$A:$E,4,0))</f>
        <v/>
      </c>
      <c r="L673" s="152" t="str">
        <f>IF(VLOOKUP(A640,'Aux - pivots1'!$A:$E,5,0)=0, "",VLOOKUP(A640,'Aux - pivots1'!$A:$E,5,0))</f>
        <v/>
      </c>
      <c r="M673" s="205">
        <v>45588</v>
      </c>
      <c r="N673" s="205"/>
      <c r="O673" s="337" t="s">
        <v>26</v>
      </c>
    </row>
    <row r="674" spans="1:17" ht="16.2"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t="s">
        <v>1871</v>
      </c>
      <c r="J674" s="152" t="str">
        <f>IF(VLOOKUP(A641,'Aux - pivots1'!$A:$E,3,0)=0, "",VLOOKUP(A641,'Aux - pivots1'!$A:$E,3,0))</f>
        <v/>
      </c>
      <c r="K674" s="152" t="str">
        <f>IF(VLOOKUP(A641,'Aux - pivots1'!$A:$E,4,0)=0, "",VLOOKUP(A641,'Aux - pivots1'!$A:$E,4,0))</f>
        <v/>
      </c>
      <c r="L674" s="152" t="str">
        <f>IF(VLOOKUP(A641,'Aux - pivots1'!$A:$E,5,0)=0, "",VLOOKUP(A641,'Aux - pivots1'!$A:$E,5,0))</f>
        <v/>
      </c>
      <c r="M674" s="205">
        <v>45595</v>
      </c>
      <c r="N674" s="205"/>
      <c r="O674" s="337" t="s">
        <v>26</v>
      </c>
    </row>
    <row r="675" spans="1:17" ht="16.2"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615</v>
      </c>
      <c r="I675" s="142" t="s">
        <v>657</v>
      </c>
      <c r="J675" s="152" t="str">
        <f>IF(VLOOKUP(A642,'Aux - pivots1'!$A:$E,3,0)=0, "",VLOOKUP(A642,'Aux - pivots1'!$A:$E,3,0))</f>
        <v/>
      </c>
      <c r="K675" s="152" t="str">
        <f>IF(VLOOKUP(A642,'Aux - pivots1'!$A:$E,4,0)=0, "",VLOOKUP(A642,'Aux - pivots1'!$A:$E,4,0))</f>
        <v/>
      </c>
      <c r="L675" s="152" t="str">
        <f>IF(VLOOKUP(A642,'Aux - pivots1'!$A:$E,5,0)=0, "",VLOOKUP(A642,'Aux - pivots1'!$A:$E,5,0))</f>
        <v/>
      </c>
      <c r="M675" s="205">
        <v>45595</v>
      </c>
      <c r="N675" s="205"/>
      <c r="O675" s="337" t="s">
        <v>26</v>
      </c>
    </row>
    <row r="676" spans="1:17" ht="16.2"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t="s">
        <v>657</v>
      </c>
      <c r="J676" s="152" t="str">
        <f>IF(VLOOKUP(A643,'Aux - pivots1'!$A:$E,3,0)=0, "",VLOOKUP(A643,'Aux - pivots1'!$A:$E,3,0))</f>
        <v/>
      </c>
      <c r="K676" s="152" t="str">
        <f>IF(VLOOKUP(A643,'Aux - pivots1'!$A:$E,4,0)=0, "",VLOOKUP(A643,'Aux - pivots1'!$A:$E,4,0))</f>
        <v/>
      </c>
      <c r="L676" s="152" t="str">
        <f>IF(VLOOKUP(A643,'Aux - pivots1'!$A:$E,5,0)=0, "",VLOOKUP(A643,'Aux - pivots1'!$A:$E,5,0))</f>
        <v/>
      </c>
      <c r="M676" s="205">
        <v>45588</v>
      </c>
      <c r="N676" s="205"/>
      <c r="O676" s="337" t="s">
        <v>26</v>
      </c>
    </row>
    <row r="677" spans="1:17" ht="16.2"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t="s">
        <v>657</v>
      </c>
      <c r="J677" s="152" t="str">
        <f>IF(VLOOKUP(A668,'Aux - pivots1'!$A:$E,3,0)=0, "",VLOOKUP(A668,'Aux - pivots1'!$A:$E,3,0))</f>
        <v/>
      </c>
      <c r="K677" s="152" t="str">
        <f>IF(VLOOKUP(A668,'Aux - pivots1'!$A:$E,4,0)=0, "",VLOOKUP(A668,'Aux - pivots1'!$A:$E,4,0))</f>
        <v/>
      </c>
      <c r="L677" s="152" t="str">
        <f>IF(VLOOKUP(A668,'Aux - pivots1'!$A:$E,5,0)=0, "",VLOOKUP(A668,'Aux - pivots1'!$A:$E,5,0))</f>
        <v/>
      </c>
      <c r="M677" s="205"/>
      <c r="N677" s="205"/>
      <c r="O677" s="337" t="s">
        <v>26</v>
      </c>
    </row>
    <row r="678" spans="1:17" ht="16.2"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t="s">
        <v>657</v>
      </c>
      <c r="J678" s="152" t="str">
        <f>IF(VLOOKUP(A669,'Aux - pivots1'!$A:$E,3,0)=0, "",VLOOKUP(A669,'Aux - pivots1'!$A:$E,3,0))</f>
        <v/>
      </c>
      <c r="K678" s="152" t="str">
        <f>IF(VLOOKUP(A669,'Aux - pivots1'!$A:$E,4,0)=0, "",VLOOKUP(A669,'Aux - pivots1'!$A:$E,4,0))</f>
        <v/>
      </c>
      <c r="L678" s="152" t="str">
        <f>IF(VLOOKUP(A669,'Aux - pivots1'!$A:$E,5,0)=0, "",VLOOKUP(A669,'Aux - pivots1'!$A:$E,5,0))</f>
        <v/>
      </c>
      <c r="M678" s="205"/>
      <c r="N678" s="205"/>
      <c r="O678" s="337" t="s">
        <v>26</v>
      </c>
    </row>
    <row r="679" spans="1:17" ht="16.2"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t="s">
        <v>657</v>
      </c>
      <c r="J679" s="152" t="str">
        <f>IF(VLOOKUP(A670,'Aux - pivots1'!$A:$E,3,0)=0, "",VLOOKUP(A670,'Aux - pivots1'!$A:$E,3,0))</f>
        <v/>
      </c>
      <c r="K679" s="152" t="str">
        <f>IF(VLOOKUP(A670,'Aux - pivots1'!$A:$E,4,0)=0, "",VLOOKUP(A670,'Aux - pivots1'!$A:$E,4,0))</f>
        <v/>
      </c>
      <c r="L679" s="152" t="str">
        <f>IF(VLOOKUP(A670,'Aux - pivots1'!$A:$E,5,0)=0, "",VLOOKUP(A670,'Aux - pivots1'!$A:$E,5,0))</f>
        <v/>
      </c>
      <c r="M679" s="205"/>
      <c r="N679" s="205"/>
      <c r="O679" s="337" t="s">
        <v>26</v>
      </c>
    </row>
    <row r="680" spans="1:17" ht="16.2"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t="s">
        <v>657</v>
      </c>
      <c r="J680" s="152" t="str">
        <f>IF(VLOOKUP(A671,'Aux - pivots1'!$A:$E,3,0)=0, "",VLOOKUP(A671,'Aux - pivots1'!$A:$E,3,0))</f>
        <v/>
      </c>
      <c r="K680" s="152" t="str">
        <f>IF(VLOOKUP(A671,'Aux - pivots1'!$A:$E,4,0)=0, "",VLOOKUP(A671,'Aux - pivots1'!$A:$E,4,0))</f>
        <v/>
      </c>
      <c r="L680" s="152" t="str">
        <f>IF(VLOOKUP(A671,'Aux - pivots1'!$A:$E,5,0)=0, "",VLOOKUP(A671,'Aux - pivots1'!$A:$E,5,0))</f>
        <v/>
      </c>
      <c r="M680" s="205"/>
      <c r="N680" s="205"/>
      <c r="O680" s="337" t="s">
        <v>26</v>
      </c>
    </row>
    <row r="681" spans="1:17" ht="16.2"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t="s">
        <v>657</v>
      </c>
      <c r="J681" s="152" t="str">
        <f>IF(VLOOKUP(A672,'Aux - pivots1'!$A:$E,3,0)=0, "",VLOOKUP(A672,'Aux - pivots1'!$A:$E,3,0))</f>
        <v/>
      </c>
      <c r="K681" s="152" t="str">
        <f>IF(VLOOKUP(A672,'Aux - pivots1'!$A:$E,4,0)=0, "",VLOOKUP(A672,'Aux - pivots1'!$A:$E,4,0))</f>
        <v/>
      </c>
      <c r="L681" s="152" t="str">
        <f>IF(VLOOKUP(A672,'Aux - pivots1'!$A:$E,5,0)=0, "",VLOOKUP(A672,'Aux - pivots1'!$A:$E,5,0))</f>
        <v/>
      </c>
      <c r="M681" s="205"/>
      <c r="N681" s="205"/>
      <c r="O681" s="337" t="s">
        <v>26</v>
      </c>
    </row>
    <row r="682" spans="1:17" ht="16.2"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t="s">
        <v>657</v>
      </c>
      <c r="J682" s="152" t="str">
        <f>IF(VLOOKUP(A673,'Aux - pivots1'!$A:$E,3,0)=0, "",VLOOKUP(A673,'Aux - pivots1'!$A:$E,3,0))</f>
        <v/>
      </c>
      <c r="K682" s="152" t="str">
        <f>IF(VLOOKUP(A673,'Aux - pivots1'!$A:$E,4,0)=0, "",VLOOKUP(A673,'Aux - pivots1'!$A:$E,4,0))</f>
        <v/>
      </c>
      <c r="L682" s="152" t="str">
        <f>IF(VLOOKUP(A673,'Aux - pivots1'!$A:$E,5,0)=0, "",VLOOKUP(A673,'Aux - pivots1'!$A:$E,5,0))</f>
        <v/>
      </c>
      <c r="M682" s="205"/>
      <c r="N682" s="205"/>
      <c r="O682" s="337" t="s">
        <v>26</v>
      </c>
    </row>
    <row r="683" spans="1:17" ht="16.2"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t="s">
        <v>657</v>
      </c>
      <c r="J683" s="152" t="str">
        <f>IF(VLOOKUP(A674,'Aux - pivots1'!$A:$E,3,0)=0, "",VLOOKUP(A674,'Aux - pivots1'!$A:$E,3,0))</f>
        <v/>
      </c>
      <c r="K683" s="152" t="str">
        <f>IF(VLOOKUP(A674,'Aux - pivots1'!$A:$E,4,0)=0, "",VLOOKUP(A674,'Aux - pivots1'!$A:$E,4,0))</f>
        <v/>
      </c>
      <c r="L683" s="152" t="str">
        <f>IF(VLOOKUP(A674,'Aux - pivots1'!$A:$E,5,0)=0, "",VLOOKUP(A674,'Aux - pivots1'!$A:$E,5,0))</f>
        <v/>
      </c>
      <c r="M683" s="205"/>
      <c r="N683" s="205"/>
      <c r="O683" s="337" t="s">
        <v>26</v>
      </c>
    </row>
    <row r="684" spans="1:17" ht="16.2"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t="s">
        <v>657</v>
      </c>
      <c r="J684" s="152" t="str">
        <f>IF(VLOOKUP(A675,'Aux - pivots1'!$A:$E,3,0)=0, "",VLOOKUP(A675,'Aux - pivots1'!$A:$E,3,0))</f>
        <v/>
      </c>
      <c r="K684" s="152" t="str">
        <f>IF(VLOOKUP(A675,'Aux - pivots1'!$A:$E,4,0)=0, "",VLOOKUP(A675,'Aux - pivots1'!$A:$E,4,0))</f>
        <v/>
      </c>
      <c r="L684" s="152" t="str">
        <f>IF(VLOOKUP(A675,'Aux - pivots1'!$A:$E,5,0)=0, "",VLOOKUP(A675,'Aux - pivots1'!$A:$E,5,0))</f>
        <v/>
      </c>
      <c r="M684" s="205"/>
      <c r="N684" s="205"/>
      <c r="O684" s="337" t="s">
        <v>26</v>
      </c>
    </row>
    <row r="685" spans="1:17" ht="16.2"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t="s">
        <v>657</v>
      </c>
      <c r="J685" s="152" t="str">
        <f>IF(VLOOKUP(A676,'Aux - pivots1'!$A:$E,3,0)=0, "",VLOOKUP(A676,'Aux - pivots1'!$A:$E,3,0))</f>
        <v/>
      </c>
      <c r="K685" s="152" t="str">
        <f>IF(VLOOKUP(A676,'Aux - pivots1'!$A:$E,4,0)=0, "",VLOOKUP(A676,'Aux - pivots1'!$A:$E,4,0))</f>
        <v/>
      </c>
      <c r="L685" s="152" t="str">
        <f>IF(VLOOKUP(A676,'Aux - pivots1'!$A:$E,5,0)=0, "",VLOOKUP(A676,'Aux - pivots1'!$A:$E,5,0))</f>
        <v/>
      </c>
      <c r="M685" s="205"/>
      <c r="N685" s="205"/>
      <c r="O685" s="337" t="s">
        <v>26</v>
      </c>
    </row>
    <row r="686" spans="1:17" ht="16.2" customHeight="1">
      <c r="A686" s="29" t="str">
        <f t="shared" si="10"/>
        <v>lt006_instr_protprtctn_allctd_vl</v>
      </c>
      <c r="B686" s="141" t="s">
        <v>26</v>
      </c>
      <c r="C686" s="137" t="s">
        <v>26</v>
      </c>
      <c r="D686" s="133" t="s">
        <v>40</v>
      </c>
      <c r="E686" s="136" t="s">
        <v>441</v>
      </c>
      <c r="F686" s="428" t="s">
        <v>442</v>
      </c>
      <c r="G686" s="135" t="str">
        <f>VLOOKUP(A686,Plano_V3!$A$26:$G$753,7,0)</f>
        <v>7. Por iniciar</v>
      </c>
      <c r="H686" s="135" t="s">
        <v>612</v>
      </c>
      <c r="I686" s="480" t="s">
        <v>2372</v>
      </c>
      <c r="J686" s="152" t="str">
        <f>IF(VLOOKUP(A677,'Aux - pivots1'!$A:$E,3,0)=0, "",VLOOKUP(A677,'Aux - pivots1'!$A:$E,3,0))</f>
        <v/>
      </c>
      <c r="K686" s="152" t="str">
        <f>IF(VLOOKUP(A677,'Aux - pivots1'!$A:$E,4,0)=0, "",VLOOKUP(A677,'Aux - pivots1'!$A:$E,4,0))</f>
        <v/>
      </c>
      <c r="L686" s="152" t="str">
        <f>IF(VLOOKUP(A677,'Aux - pivots1'!$A:$E,5,0)=0, "",VLOOKUP(A677,'Aux - pivots1'!$A:$E,5,0))</f>
        <v/>
      </c>
      <c r="M686" s="205"/>
      <c r="N686" s="205"/>
      <c r="O686" s="337" t="s">
        <v>26</v>
      </c>
      <c r="Q686" s="268" t="s">
        <v>2378</v>
      </c>
    </row>
    <row r="687" spans="1:17" ht="16.2" customHeight="1">
      <c r="A687" s="29" t="str">
        <f t="shared" ref="A687" si="12">E687&amp;F687</f>
        <v>lt006_instr_protTYP_RLTN</v>
      </c>
      <c r="B687" s="141" t="s">
        <v>26</v>
      </c>
      <c r="C687" s="137" t="s">
        <v>26</v>
      </c>
      <c r="D687" s="133" t="s">
        <v>40</v>
      </c>
      <c r="E687" s="136" t="s">
        <v>441</v>
      </c>
      <c r="F687" s="428" t="s">
        <v>2354</v>
      </c>
      <c r="G687" s="135" t="str">
        <f>VLOOKUP(A687,Plano_V3!$A$26:$G$753,7,0)</f>
        <v>7. Por iniciar</v>
      </c>
      <c r="H687" s="135" t="s">
        <v>612</v>
      </c>
      <c r="I687" s="480" t="s">
        <v>2305</v>
      </c>
      <c r="J687" s="152" t="str">
        <f>IF(VLOOKUP(A678,'Aux - pivots1'!$A:$E,3,0)=0, "",VLOOKUP(A678,'Aux - pivots1'!$A:$E,3,0))</f>
        <v/>
      </c>
      <c r="K687" s="152" t="str">
        <f>IF(VLOOKUP(A678,'Aux - pivots1'!$A:$E,4,0)=0, "",VLOOKUP(A678,'Aux - pivots1'!$A:$E,4,0))</f>
        <v/>
      </c>
      <c r="L687" s="152" t="str">
        <f>IF(VLOOKUP(A678,'Aux - pivots1'!$A:$E,5,0)=0, "",VLOOKUP(A678,'Aux - pivots1'!$A:$E,5,0))</f>
        <v/>
      </c>
      <c r="M687" s="205"/>
      <c r="N687" s="205"/>
      <c r="O687" s="337" t="s">
        <v>26</v>
      </c>
      <c r="Q687" s="268" t="s">
        <v>1883</v>
      </c>
    </row>
    <row r="688" spans="1:17" ht="16.2"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t="s">
        <v>657</v>
      </c>
      <c r="J688" s="152" t="str">
        <f>IF(VLOOKUP(A678,'Aux - pivots1'!$A:$E,3,0)=0, "",VLOOKUP(A678,'Aux - pivots1'!$A:$E,3,0))</f>
        <v/>
      </c>
      <c r="K688" s="152" t="str">
        <f>IF(VLOOKUP(A678,'Aux - pivots1'!$A:$E,4,0)=0, "",VLOOKUP(A678,'Aux - pivots1'!$A:$E,4,0))</f>
        <v/>
      </c>
      <c r="L688" s="152" t="str">
        <f>IF(VLOOKUP(A678,'Aux - pivots1'!$A:$E,5,0)=0, "",VLOOKUP(A678,'Aux - pivots1'!$A:$E,5,0))</f>
        <v/>
      </c>
      <c r="M688" s="205"/>
      <c r="N688" s="205"/>
      <c r="O688" s="337" t="s">
        <v>26</v>
      </c>
      <c r="Q688" s="268" t="s">
        <v>1883</v>
      </c>
    </row>
    <row r="689" spans="1:17" ht="16.2" customHeight="1">
      <c r="A689" s="29" t="str">
        <f t="shared" si="10"/>
        <v>lt004_protectionflg_fin</v>
      </c>
      <c r="B689" s="141" t="s">
        <v>26</v>
      </c>
      <c r="C689" s="137" t="s">
        <v>26</v>
      </c>
      <c r="D689" s="133" t="s">
        <v>40</v>
      </c>
      <c r="E689" s="136" t="s">
        <v>368</v>
      </c>
      <c r="F689" s="136" t="s">
        <v>480</v>
      </c>
      <c r="G689" s="135" t="str">
        <f>VLOOKUP(A689,Plano_V3!$A$26:$G$753,7,0)</f>
        <v>0. Cancelado</v>
      </c>
      <c r="H689" s="135" t="s">
        <v>612</v>
      </c>
      <c r="I689" s="142" t="s">
        <v>1873</v>
      </c>
      <c r="J689" s="152" t="str">
        <f>IF(VLOOKUP(A679,'Aux - pivots1'!$A:$E,3,0)=0, "",VLOOKUP(A679,'Aux - pivots1'!$A:$E,3,0))</f>
        <v/>
      </c>
      <c r="K689" s="152" t="str">
        <f>IF(VLOOKUP(A679,'Aux - pivots1'!$A:$E,4,0)=0, "",VLOOKUP(A679,'Aux - pivots1'!$A:$E,4,0))</f>
        <v/>
      </c>
      <c r="L689" s="152" t="str">
        <f>IF(VLOOKUP(A679,'Aux - pivots1'!$A:$E,5,0)=0, "",VLOOKUP(A679,'Aux - pivots1'!$A:$E,5,0))</f>
        <v/>
      </c>
      <c r="M689" s="205"/>
      <c r="N689" s="205"/>
      <c r="O689" s="337" t="s">
        <v>26</v>
      </c>
      <c r="Q689" s="268" t="s">
        <v>1883</v>
      </c>
    </row>
    <row r="690" spans="1:17" ht="16.2" customHeight="1">
      <c r="A690" s="29" t="str">
        <f t="shared" si="10"/>
        <v>lt004_protectionflg_exec</v>
      </c>
      <c r="B690" s="141" t="s">
        <v>26</v>
      </c>
      <c r="C690" s="137" t="s">
        <v>26</v>
      </c>
      <c r="D690" s="133" t="s">
        <v>40</v>
      </c>
      <c r="E690" s="136" t="s">
        <v>368</v>
      </c>
      <c r="F690" s="136" t="s">
        <v>1296</v>
      </c>
      <c r="G690" s="135" t="str">
        <f>VLOOKUP(A690,Plano_V3!$A$26:$G$753,7,0)</f>
        <v>0. Cancelado</v>
      </c>
      <c r="H690" s="135" t="s">
        <v>612</v>
      </c>
      <c r="I690" s="142" t="s">
        <v>1873</v>
      </c>
      <c r="J690" s="152" t="str">
        <f>IF(VLOOKUP(A680,'Aux - pivots1'!$A:$E,3,0)=0, "",VLOOKUP(A680,'Aux - pivots1'!$A:$E,3,0))</f>
        <v/>
      </c>
      <c r="K690" s="152" t="str">
        <f>IF(VLOOKUP(A680,'Aux - pivots1'!$A:$E,4,0)=0, "",VLOOKUP(A680,'Aux - pivots1'!$A:$E,4,0))</f>
        <v/>
      </c>
      <c r="L690" s="152" t="str">
        <f>IF(VLOOKUP(A680,'Aux - pivots1'!$A:$E,5,0)=0, "",VLOOKUP(A680,'Aux - pivots1'!$A:$E,5,0))</f>
        <v/>
      </c>
      <c r="M690" s="205"/>
      <c r="N690" s="205"/>
      <c r="O690" s="337" t="s">
        <v>26</v>
      </c>
      <c r="Q690" s="268" t="s">
        <v>1883</v>
      </c>
    </row>
    <row r="691" spans="1:17" ht="16.2" customHeight="1">
      <c r="A691" s="29" t="str">
        <f t="shared" si="10"/>
        <v>lt004_protectionRL_ESTT_ADDRSS</v>
      </c>
      <c r="B691" s="141" t="s">
        <v>26</v>
      </c>
      <c r="C691" s="137" t="s">
        <v>26</v>
      </c>
      <c r="D691" s="133" t="s">
        <v>40</v>
      </c>
      <c r="E691" s="136" t="s">
        <v>368</v>
      </c>
      <c r="F691" s="428" t="s">
        <v>2308</v>
      </c>
      <c r="G691" s="135" t="str">
        <f>VLOOKUP(A691,Plano_V3!$A$26:$G$753,7,0)</f>
        <v>7. Por iniciar</v>
      </c>
      <c r="H691" s="135"/>
      <c r="I691" s="480" t="s">
        <v>2304</v>
      </c>
      <c r="J691" s="152" t="str">
        <f>IF(VLOOKUP(A691,'Aux - pivots1'!$A:$E,3,0)=0, "",VLOOKUP(A691,'Aux - pivots1'!$A:$E,3,0))</f>
        <v/>
      </c>
      <c r="K691" s="152" t="str">
        <f>IF(VLOOKUP(A691,'Aux - pivots1'!$A:$E,4,0)=0, "",VLOOKUP(A691,'Aux - pivots1'!$A:$E,4,0))</f>
        <v/>
      </c>
      <c r="L691" s="152" t="str">
        <f>IF(VLOOKUP(A691,'Aux - pivots1'!$A:$E,5,0)=0, "",VLOOKUP(A691,'Aux - pivots1'!$A:$E,5,0))</f>
        <v/>
      </c>
      <c r="M691" s="205"/>
      <c r="N691" s="205"/>
      <c r="O691" s="337"/>
      <c r="Q691" s="268" t="s">
        <v>1883</v>
      </c>
    </row>
    <row r="692" spans="1:17" ht="16.2" customHeight="1">
      <c r="A692" s="29" t="str">
        <f t="shared" si="10"/>
        <v>lt004_protectionRL_ESTT_CLLTRL_LCTN_INT</v>
      </c>
      <c r="B692" s="141" t="s">
        <v>26</v>
      </c>
      <c r="C692" s="137" t="s">
        <v>26</v>
      </c>
      <c r="D692" s="133" t="s">
        <v>40</v>
      </c>
      <c r="E692" s="136" t="s">
        <v>368</v>
      </c>
      <c r="F692" s="428" t="s">
        <v>2309</v>
      </c>
      <c r="G692" s="135" t="str">
        <f>VLOOKUP(A692,Plano_V3!$A$26:$G$753,7,0)</f>
        <v>7. Por iniciar</v>
      </c>
      <c r="H692" s="135"/>
      <c r="I692" s="480" t="s">
        <v>2304</v>
      </c>
      <c r="J692" s="152" t="str">
        <f>IF(VLOOKUP(A692,'Aux - pivots1'!$A:$E,3,0)=0, "",VLOOKUP(A692,'Aux - pivots1'!$A:$E,3,0))</f>
        <v/>
      </c>
      <c r="K692" s="152" t="str">
        <f>IF(VLOOKUP(A692,'Aux - pivots1'!$A:$E,4,0)=0, "",VLOOKUP(A692,'Aux - pivots1'!$A:$E,4,0))</f>
        <v/>
      </c>
      <c r="L692" s="152" t="str">
        <f>IF(VLOOKUP(A692,'Aux - pivots1'!$A:$E,5,0)=0, "",VLOOKUP(A692,'Aux - pivots1'!$A:$E,5,0))</f>
        <v/>
      </c>
      <c r="M692" s="205"/>
      <c r="N692" s="205"/>
      <c r="O692" s="337"/>
      <c r="Q692" s="268" t="s">
        <v>1883</v>
      </c>
    </row>
    <row r="693" spans="1:17" ht="16.2" customHeight="1">
      <c r="A693" s="29" t="str">
        <f t="shared" si="10"/>
        <v>lt004_protectionRL_ESTT_CTY</v>
      </c>
      <c r="B693" s="141" t="s">
        <v>26</v>
      </c>
      <c r="C693" s="137" t="s">
        <v>26</v>
      </c>
      <c r="D693" s="133" t="s">
        <v>40</v>
      </c>
      <c r="E693" s="136" t="s">
        <v>368</v>
      </c>
      <c r="F693" s="428" t="s">
        <v>2310</v>
      </c>
      <c r="G693" s="135" t="str">
        <f>VLOOKUP(A693,Plano_V3!$A$26:$G$753,7,0)</f>
        <v>7. Por iniciar</v>
      </c>
      <c r="H693" s="135"/>
      <c r="I693" s="480" t="s">
        <v>2304</v>
      </c>
      <c r="J693" s="152" t="str">
        <f>IF(VLOOKUP(A693,'Aux - pivots1'!$A:$E,3,0)=0, "",VLOOKUP(A693,'Aux - pivots1'!$A:$E,3,0))</f>
        <v/>
      </c>
      <c r="K693" s="152" t="str">
        <f>IF(VLOOKUP(A693,'Aux - pivots1'!$A:$E,4,0)=0, "",VLOOKUP(A693,'Aux - pivots1'!$A:$E,4,0))</f>
        <v/>
      </c>
      <c r="L693" s="152" t="str">
        <f>IF(VLOOKUP(A693,'Aux - pivots1'!$A:$E,5,0)=0, "",VLOOKUP(A693,'Aux - pivots1'!$A:$E,5,0))</f>
        <v/>
      </c>
      <c r="M693" s="205"/>
      <c r="N693" s="205"/>
      <c r="O693" s="337"/>
      <c r="Q693" s="268" t="s">
        <v>1883</v>
      </c>
    </row>
    <row r="694" spans="1:17" ht="16.2" customHeight="1">
      <c r="A694" s="29" t="str">
        <f t="shared" si="10"/>
        <v>lt004_protectionTYP_EMSSNS_LBL</v>
      </c>
      <c r="B694" s="141" t="s">
        <v>26</v>
      </c>
      <c r="C694" s="137" t="s">
        <v>26</v>
      </c>
      <c r="D694" s="133" t="s">
        <v>40</v>
      </c>
      <c r="E694" s="136" t="s">
        <v>368</v>
      </c>
      <c r="F694" s="428" t="s">
        <v>2311</v>
      </c>
      <c r="G694" s="135" t="str">
        <f>VLOOKUP(A694,Plano_V3!$A$26:$G$753,7,0)</f>
        <v>7. Por iniciar</v>
      </c>
      <c r="H694" s="135"/>
      <c r="I694" s="480" t="s">
        <v>2372</v>
      </c>
      <c r="J694" s="152" t="str">
        <f>IF(VLOOKUP(A694,'Aux - pivots1'!$A:$E,3,0)=0, "",VLOOKUP(A694,'Aux - pivots1'!$A:$E,3,0))</f>
        <v/>
      </c>
      <c r="K694" s="152" t="str">
        <f>IF(VLOOKUP(A694,'Aux - pivots1'!$A:$E,4,0)=0, "",VLOOKUP(A694,'Aux - pivots1'!$A:$E,4,0))</f>
        <v/>
      </c>
      <c r="L694" s="152" t="str">
        <f>IF(VLOOKUP(A694,'Aux - pivots1'!$A:$E,5,0)=0, "",VLOOKUP(A694,'Aux - pivots1'!$A:$E,5,0))</f>
        <v/>
      </c>
      <c r="M694" s="205"/>
      <c r="N694" s="205"/>
      <c r="O694" s="337"/>
      <c r="Q694" s="268" t="s">
        <v>1883</v>
      </c>
    </row>
    <row r="695" spans="1:17" ht="16.2" customHeight="1">
      <c r="A695" s="29" t="str">
        <f t="shared" si="10"/>
        <v>lt004_protectionEPC_EMSSNS_LBL</v>
      </c>
      <c r="B695" s="141" t="s">
        <v>26</v>
      </c>
      <c r="C695" s="137" t="s">
        <v>26</v>
      </c>
      <c r="D695" s="133" t="s">
        <v>40</v>
      </c>
      <c r="E695" s="136" t="s">
        <v>368</v>
      </c>
      <c r="F695" s="428" t="s">
        <v>2312</v>
      </c>
      <c r="G695" s="135" t="str">
        <f>VLOOKUP(A695,Plano_V3!$A$26:$G$753,7,0)</f>
        <v>7. Por iniciar</v>
      </c>
      <c r="H695" s="135"/>
      <c r="I695" s="480" t="s">
        <v>2305</v>
      </c>
      <c r="J695" s="152" t="str">
        <f>IF(VLOOKUP(A695,'Aux - pivots1'!$A:$E,3,0)=0, "",VLOOKUP(A695,'Aux - pivots1'!$A:$E,3,0))</f>
        <v/>
      </c>
      <c r="K695" s="152" t="str">
        <f>IF(VLOOKUP(A695,'Aux - pivots1'!$A:$E,4,0)=0, "",VLOOKUP(A695,'Aux - pivots1'!$A:$E,4,0))</f>
        <v/>
      </c>
      <c r="L695" s="152" t="str">
        <f>IF(VLOOKUP(A695,'Aux - pivots1'!$A:$E,5,0)=0, "",VLOOKUP(A695,'Aux - pivots1'!$A:$E,5,0))</f>
        <v/>
      </c>
      <c r="M695" s="205"/>
      <c r="N695" s="205"/>
      <c r="O695" s="337"/>
      <c r="Q695" s="268" t="s">
        <v>1883</v>
      </c>
    </row>
    <row r="696" spans="1:17" ht="16.2" customHeight="1">
      <c r="A696" s="29" t="str">
        <f t="shared" si="10"/>
        <v>lt004_protectionVHCL_EMSSNS_LBL</v>
      </c>
      <c r="B696" s="141" t="s">
        <v>26</v>
      </c>
      <c r="C696" s="137" t="s">
        <v>26</v>
      </c>
      <c r="D696" s="133" t="s">
        <v>40</v>
      </c>
      <c r="E696" s="136" t="s">
        <v>368</v>
      </c>
      <c r="F696" s="428" t="s">
        <v>2313</v>
      </c>
      <c r="G696" s="135" t="str">
        <f>VLOOKUP(A696,Plano_V3!$A$26:$G$753,7,0)</f>
        <v>7. Por iniciar</v>
      </c>
      <c r="H696" s="135"/>
      <c r="I696" s="480" t="s">
        <v>2372</v>
      </c>
      <c r="J696" s="152" t="str">
        <f>IF(VLOOKUP(A696,'Aux - pivots1'!$A:$E,3,0)=0, "",VLOOKUP(A696,'Aux - pivots1'!$A:$E,3,0))</f>
        <v/>
      </c>
      <c r="K696" s="152" t="str">
        <f>IF(VLOOKUP(A696,'Aux - pivots1'!$A:$E,4,0)=0, "",VLOOKUP(A696,'Aux - pivots1'!$A:$E,4,0))</f>
        <v/>
      </c>
      <c r="L696" s="152" t="str">
        <f>IF(VLOOKUP(A696,'Aux - pivots1'!$A:$E,5,0)=0, "",VLOOKUP(A696,'Aux - pivots1'!$A:$E,5,0))</f>
        <v/>
      </c>
      <c r="M696" s="205"/>
      <c r="N696" s="205"/>
      <c r="O696" s="337"/>
      <c r="Q696" s="268" t="s">
        <v>1883</v>
      </c>
    </row>
    <row r="697" spans="1:17" ht="16.2" customHeight="1">
      <c r="A697" s="29" t="str">
        <f t="shared" si="10"/>
        <v>lt004_protectionTYP_EMSSNS_SCR</v>
      </c>
      <c r="B697" s="141" t="s">
        <v>26</v>
      </c>
      <c r="C697" s="137" t="s">
        <v>26</v>
      </c>
      <c r="D697" s="133" t="s">
        <v>40</v>
      </c>
      <c r="E697" s="136" t="s">
        <v>368</v>
      </c>
      <c r="F697" s="428" t="s">
        <v>2314</v>
      </c>
      <c r="G697" s="135" t="str">
        <f>VLOOKUP(A697,Plano_V3!$A$26:$G$753,7,0)</f>
        <v>7. Por iniciar</v>
      </c>
      <c r="H697" s="135"/>
      <c r="I697" s="480" t="s">
        <v>2305</v>
      </c>
      <c r="J697" s="152" t="str">
        <f>IF(VLOOKUP(A697,'Aux - pivots1'!$A:$E,3,0)=0, "",VLOOKUP(A697,'Aux - pivots1'!$A:$E,3,0))</f>
        <v/>
      </c>
      <c r="K697" s="152" t="str">
        <f>IF(VLOOKUP(A697,'Aux - pivots1'!$A:$E,4,0)=0, "",VLOOKUP(A697,'Aux - pivots1'!$A:$E,4,0))</f>
        <v/>
      </c>
      <c r="L697" s="152" t="str">
        <f>IF(VLOOKUP(A697,'Aux - pivots1'!$A:$E,5,0)=0, "",VLOOKUP(A697,'Aux - pivots1'!$A:$E,5,0))</f>
        <v/>
      </c>
      <c r="M697" s="205"/>
      <c r="N697" s="205"/>
      <c r="O697" s="337"/>
      <c r="Q697" s="268" t="s">
        <v>1883</v>
      </c>
    </row>
    <row r="698" spans="1:17" ht="16.2" customHeight="1">
      <c r="A698" s="29" t="str">
        <f t="shared" si="10"/>
        <v>lt004_protectionEPC_EMSSNS_SCR</v>
      </c>
      <c r="B698" s="141" t="s">
        <v>26</v>
      </c>
      <c r="C698" s="137" t="s">
        <v>26</v>
      </c>
      <c r="D698" s="133" t="s">
        <v>40</v>
      </c>
      <c r="E698" s="136" t="s">
        <v>368</v>
      </c>
      <c r="F698" s="428" t="s">
        <v>2315</v>
      </c>
      <c r="G698" s="135" t="str">
        <f>VLOOKUP(A698,Plano_V3!$A$26:$G$753,7,0)</f>
        <v>7. Por iniciar</v>
      </c>
      <c r="H698" s="135"/>
      <c r="I698" s="480" t="s">
        <v>2305</v>
      </c>
      <c r="J698" s="152" t="str">
        <f>IF(VLOOKUP(A698,'Aux - pivots1'!$A:$E,3,0)=0, "",VLOOKUP(A698,'Aux - pivots1'!$A:$E,3,0))</f>
        <v/>
      </c>
      <c r="K698" s="152" t="str">
        <f>IF(VLOOKUP(A698,'Aux - pivots1'!$A:$E,4,0)=0, "",VLOOKUP(A698,'Aux - pivots1'!$A:$E,4,0))</f>
        <v/>
      </c>
      <c r="L698" s="152" t="str">
        <f>IF(VLOOKUP(A698,'Aux - pivots1'!$A:$E,5,0)=0, "",VLOOKUP(A698,'Aux - pivots1'!$A:$E,5,0))</f>
        <v/>
      </c>
      <c r="M698" s="205"/>
      <c r="N698" s="205"/>
      <c r="O698" s="337"/>
      <c r="Q698" s="268" t="s">
        <v>1883</v>
      </c>
    </row>
    <row r="699" spans="1:17" ht="16.2" customHeight="1">
      <c r="A699" s="29" t="str">
        <f t="shared" si="10"/>
        <v>lt004_protectionVHCL_EMSSNS_SCR</v>
      </c>
      <c r="B699" s="141" t="s">
        <v>26</v>
      </c>
      <c r="C699" s="137" t="s">
        <v>26</v>
      </c>
      <c r="D699" s="133" t="s">
        <v>40</v>
      </c>
      <c r="E699" s="136" t="s">
        <v>368</v>
      </c>
      <c r="F699" s="428" t="s">
        <v>2316</v>
      </c>
      <c r="G699" s="135" t="str">
        <f>VLOOKUP(A699,Plano_V3!$A$26:$G$753,7,0)</f>
        <v>7. Por iniciar</v>
      </c>
      <c r="H699" s="135"/>
      <c r="I699" s="480" t="s">
        <v>2372</v>
      </c>
      <c r="J699" s="152" t="str">
        <f>IF(VLOOKUP(A699,'Aux - pivots1'!$A:$E,3,0)=0, "",VLOOKUP(A699,'Aux - pivots1'!$A:$E,3,0))</f>
        <v/>
      </c>
      <c r="K699" s="152" t="str">
        <f>IF(VLOOKUP(A699,'Aux - pivots1'!$A:$E,4,0)=0, "",VLOOKUP(A699,'Aux - pivots1'!$A:$E,4,0))</f>
        <v/>
      </c>
      <c r="L699" s="152" t="str">
        <f>IF(VLOOKUP(A699,'Aux - pivots1'!$A:$E,5,0)=0, "",VLOOKUP(A699,'Aux - pivots1'!$A:$E,5,0))</f>
        <v/>
      </c>
      <c r="M699" s="205"/>
      <c r="N699" s="205"/>
      <c r="O699" s="337"/>
      <c r="Q699" s="268" t="s">
        <v>1883</v>
      </c>
    </row>
    <row r="700" spans="1:17" ht="16.2" customHeight="1">
      <c r="A700" s="29" t="str">
        <f t="shared" si="10"/>
        <v>lt004_protectionINSRNC_ID</v>
      </c>
      <c r="B700" s="141" t="s">
        <v>26</v>
      </c>
      <c r="C700" s="137" t="s">
        <v>26</v>
      </c>
      <c r="D700" s="133" t="s">
        <v>40</v>
      </c>
      <c r="E700" s="136" t="s">
        <v>368</v>
      </c>
      <c r="F700" s="428" t="s">
        <v>2317</v>
      </c>
      <c r="G700" s="135" t="str">
        <f>VLOOKUP(A700,Plano_V3!$A$26:$G$753,7,0)</f>
        <v>7. Por iniciar</v>
      </c>
      <c r="H700" s="135"/>
      <c r="I700" s="480" t="s">
        <v>2372</v>
      </c>
      <c r="J700" s="152" t="str">
        <f>IF(VLOOKUP(A700,'Aux - pivots1'!$A:$E,3,0)=0, "",VLOOKUP(A700,'Aux - pivots1'!$A:$E,3,0))</f>
        <v/>
      </c>
      <c r="K700" s="152" t="str">
        <f>IF(VLOOKUP(A700,'Aux - pivots1'!$A:$E,4,0)=0, "",VLOOKUP(A700,'Aux - pivots1'!$A:$E,4,0))</f>
        <v/>
      </c>
      <c r="L700" s="152" t="str">
        <f>IF(VLOOKUP(A700,'Aux - pivots1'!$A:$E,5,0)=0, "",VLOOKUP(A700,'Aux - pivots1'!$A:$E,5,0))</f>
        <v/>
      </c>
      <c r="M700" s="205"/>
      <c r="N700" s="205"/>
      <c r="O700" s="337"/>
      <c r="Q700" s="268" t="s">
        <v>1883</v>
      </c>
    </row>
    <row r="701" spans="1:17" ht="16.2" customHeight="1">
      <c r="A701" s="29" t="str">
        <f t="shared" si="10"/>
        <v>lt004_protectionTYP_HZRDS_INSRD</v>
      </c>
      <c r="B701" s="141" t="s">
        <v>26</v>
      </c>
      <c r="C701" s="137" t="s">
        <v>26</v>
      </c>
      <c r="D701" s="133" t="s">
        <v>40</v>
      </c>
      <c r="E701" s="136" t="s">
        <v>368</v>
      </c>
      <c r="F701" s="428" t="s">
        <v>2318</v>
      </c>
      <c r="G701" s="135" t="str">
        <f>VLOOKUP(A701,Plano_V3!$A$26:$G$753,7,0)</f>
        <v>7. Por iniciar</v>
      </c>
      <c r="H701" s="135"/>
      <c r="I701" s="480" t="s">
        <v>2372</v>
      </c>
      <c r="J701" s="152" t="str">
        <f>IF(VLOOKUP(A701,'Aux - pivots1'!$A:$E,3,0)=0, "",VLOOKUP(A701,'Aux - pivots1'!$A:$E,3,0))</f>
        <v/>
      </c>
      <c r="K701" s="152" t="str">
        <f>IF(VLOOKUP(A701,'Aux - pivots1'!$A:$E,4,0)=0, "",VLOOKUP(A701,'Aux - pivots1'!$A:$E,4,0))</f>
        <v/>
      </c>
      <c r="L701" s="152" t="str">
        <f>IF(VLOOKUP(A701,'Aux - pivots1'!$A:$E,5,0)=0, "",VLOOKUP(A701,'Aux - pivots1'!$A:$E,5,0))</f>
        <v/>
      </c>
      <c r="M701" s="205"/>
      <c r="N701" s="205"/>
      <c r="O701" s="337"/>
      <c r="Q701" s="268" t="s">
        <v>1883</v>
      </c>
    </row>
    <row r="702" spans="1:17" ht="16.2" customHeight="1">
      <c r="A702" s="29" t="str">
        <f t="shared" si="10"/>
        <v>lt004_protectionAMNT_CVRD_INSRNC</v>
      </c>
      <c r="B702" s="141" t="s">
        <v>26</v>
      </c>
      <c r="C702" s="137" t="s">
        <v>26</v>
      </c>
      <c r="D702" s="133" t="s">
        <v>40</v>
      </c>
      <c r="E702" s="136" t="s">
        <v>368</v>
      </c>
      <c r="F702" s="428" t="s">
        <v>2319</v>
      </c>
      <c r="G702" s="135" t="str">
        <f>VLOOKUP(A702,Plano_V3!$A$26:$G$753,7,0)</f>
        <v>7. Por iniciar</v>
      </c>
      <c r="H702" s="135"/>
      <c r="I702" s="480" t="s">
        <v>2372</v>
      </c>
      <c r="J702" s="152" t="str">
        <f>IF(VLOOKUP(A702,'Aux - pivots1'!$A:$E,3,0)=0, "",VLOOKUP(A702,'Aux - pivots1'!$A:$E,3,0))</f>
        <v/>
      </c>
      <c r="K702" s="152" t="str">
        <f>IF(VLOOKUP(A702,'Aux - pivots1'!$A:$E,4,0)=0, "",VLOOKUP(A702,'Aux - pivots1'!$A:$E,4,0))</f>
        <v/>
      </c>
      <c r="L702" s="152" t="str">
        <f>IF(VLOOKUP(A702,'Aux - pivots1'!$A:$E,5,0)=0, "",VLOOKUP(A702,'Aux - pivots1'!$A:$E,5,0))</f>
        <v/>
      </c>
      <c r="M702" s="205"/>
      <c r="N702" s="205"/>
      <c r="O702" s="337"/>
      <c r="Q702" s="268" t="s">
        <v>1883</v>
      </c>
    </row>
    <row r="703" spans="1:17" ht="16.2" customHeight="1">
      <c r="A703" s="29" t="str">
        <f t="shared" si="10"/>
        <v>lt004_protectionDT_MTRTY_INSRNC</v>
      </c>
      <c r="B703" s="141" t="s">
        <v>26</v>
      </c>
      <c r="C703" s="137" t="s">
        <v>26</v>
      </c>
      <c r="D703" s="133" t="s">
        <v>40</v>
      </c>
      <c r="E703" s="136" t="s">
        <v>368</v>
      </c>
      <c r="F703" s="428" t="s">
        <v>2320</v>
      </c>
      <c r="G703" s="135" t="str">
        <f>VLOOKUP(A703,Plano_V3!$A$26:$G$753,7,0)</f>
        <v>7. Por iniciar</v>
      </c>
      <c r="H703" s="135"/>
      <c r="I703" s="480" t="s">
        <v>2372</v>
      </c>
      <c r="J703" s="152" t="str">
        <f>IF(VLOOKUP(A703,'Aux - pivots1'!$A:$E,3,0)=0, "",VLOOKUP(A703,'Aux - pivots1'!$A:$E,3,0))</f>
        <v/>
      </c>
      <c r="K703" s="152" t="str">
        <f>IF(VLOOKUP(A703,'Aux - pivots1'!$A:$E,4,0)=0, "",VLOOKUP(A703,'Aux - pivots1'!$A:$E,4,0))</f>
        <v/>
      </c>
      <c r="L703" s="152" t="str">
        <f>IF(VLOOKUP(A703,'Aux - pivots1'!$A:$E,5,0)=0, "",VLOOKUP(A703,'Aux - pivots1'!$A:$E,5,0))</f>
        <v/>
      </c>
      <c r="M703" s="205"/>
      <c r="N703" s="205"/>
      <c r="O703" s="337"/>
      <c r="Q703" s="268" t="s">
        <v>1883</v>
      </c>
    </row>
    <row r="704" spans="1:17" ht="16.2" customHeight="1">
      <c r="A704" s="29" t="str">
        <f t="shared" si="10"/>
        <v>lt004_protectionFLG_FRST_HM</v>
      </c>
      <c r="B704" s="141" t="s">
        <v>26</v>
      </c>
      <c r="C704" s="137" t="s">
        <v>26</v>
      </c>
      <c r="D704" s="133" t="s">
        <v>40</v>
      </c>
      <c r="E704" s="136" t="s">
        <v>368</v>
      </c>
      <c r="F704" s="428" t="s">
        <v>2321</v>
      </c>
      <c r="G704" s="135" t="str">
        <f>VLOOKUP(A704,Plano_V3!$A$26:$G$753,7,0)</f>
        <v>7. Por iniciar</v>
      </c>
      <c r="H704" s="135"/>
      <c r="I704" s="480" t="s">
        <v>2372</v>
      </c>
      <c r="J704" s="152" t="str">
        <f>IF(VLOOKUP(A704,'Aux - pivots1'!$A:$E,3,0)=0, "",VLOOKUP(A704,'Aux - pivots1'!$A:$E,3,0))</f>
        <v/>
      </c>
      <c r="K704" s="152" t="str">
        <f>IF(VLOOKUP(A704,'Aux - pivots1'!$A:$E,4,0)=0, "",VLOOKUP(A704,'Aux - pivots1'!$A:$E,4,0))</f>
        <v/>
      </c>
      <c r="L704" s="152" t="str">
        <f>IF(VLOOKUP(A704,'Aux - pivots1'!$A:$E,5,0)=0, "",VLOOKUP(A704,'Aux - pivots1'!$A:$E,5,0))</f>
        <v/>
      </c>
      <c r="M704" s="205"/>
      <c r="N704" s="205"/>
      <c r="O704" s="337"/>
      <c r="Q704" s="268" t="s">
        <v>1883</v>
      </c>
    </row>
    <row r="705" spans="1:17" ht="16.2" customHeight="1">
      <c r="A705" s="29" t="str">
        <f t="shared" si="10"/>
        <v>lt004_protectionYR_CNSTRCTN</v>
      </c>
      <c r="B705" s="141" t="s">
        <v>26</v>
      </c>
      <c r="C705" s="137" t="s">
        <v>26</v>
      </c>
      <c r="D705" s="133" t="s">
        <v>40</v>
      </c>
      <c r="E705" s="136" t="s">
        <v>368</v>
      </c>
      <c r="F705" s="428" t="s">
        <v>2322</v>
      </c>
      <c r="G705" s="135" t="str">
        <f>VLOOKUP(A705,Plano_V3!$A$26:$G$753,7,0)</f>
        <v>7. Por iniciar</v>
      </c>
      <c r="H705" s="135"/>
      <c r="I705" s="480" t="s">
        <v>2304</v>
      </c>
      <c r="J705" s="152" t="str">
        <f>IF(VLOOKUP(A705,'Aux - pivots1'!$A:$E,3,0)=0, "",VLOOKUP(A705,'Aux - pivots1'!$A:$E,3,0))</f>
        <v/>
      </c>
      <c r="K705" s="152" t="str">
        <f>IF(VLOOKUP(A705,'Aux - pivots1'!$A:$E,4,0)=0, "",VLOOKUP(A705,'Aux - pivots1'!$A:$E,4,0))</f>
        <v/>
      </c>
      <c r="L705" s="152" t="str">
        <f>IF(VLOOKUP(A705,'Aux - pivots1'!$A:$E,5,0)=0, "",VLOOKUP(A705,'Aux - pivots1'!$A:$E,5,0))</f>
        <v/>
      </c>
      <c r="M705" s="205"/>
      <c r="N705" s="205"/>
      <c r="O705" s="337"/>
      <c r="Q705" s="268" t="s">
        <v>1883</v>
      </c>
    </row>
    <row r="706" spans="1:17" ht="16.2" customHeight="1">
      <c r="A706" s="29" t="str">
        <f t="shared" si="10"/>
        <v>lt004_protectionBLDNG_AR</v>
      </c>
      <c r="B706" s="141" t="s">
        <v>26</v>
      </c>
      <c r="C706" s="137" t="s">
        <v>26</v>
      </c>
      <c r="D706" s="133" t="s">
        <v>40</v>
      </c>
      <c r="E706" s="136" t="s">
        <v>368</v>
      </c>
      <c r="F706" s="428" t="s">
        <v>2323</v>
      </c>
      <c r="G706" s="135" t="str">
        <f>VLOOKUP(A706,Plano_V3!$A$26:$G$753,7,0)</f>
        <v>7. Por iniciar</v>
      </c>
      <c r="H706" s="135"/>
      <c r="I706" s="480" t="s">
        <v>2304</v>
      </c>
      <c r="J706" s="152" t="str">
        <f>IF(VLOOKUP(A706,'Aux - pivots1'!$A:$E,3,0)=0, "",VLOOKUP(A706,'Aux - pivots1'!$A:$E,3,0))</f>
        <v/>
      </c>
      <c r="K706" s="152" t="str">
        <f>IF(VLOOKUP(A706,'Aux - pivots1'!$A:$E,4,0)=0, "",VLOOKUP(A706,'Aux - pivots1'!$A:$E,4,0))</f>
        <v/>
      </c>
      <c r="L706" s="152" t="str">
        <f>IF(VLOOKUP(A706,'Aux - pivots1'!$A:$E,5,0)=0, "",VLOOKUP(A706,'Aux - pivots1'!$A:$E,5,0))</f>
        <v/>
      </c>
      <c r="M706" s="205"/>
      <c r="N706" s="205"/>
      <c r="O706" s="337"/>
      <c r="Q706" s="268" t="s">
        <v>1883</v>
      </c>
    </row>
    <row r="707" spans="1:17" ht="16.2" customHeight="1">
      <c r="A707" s="29" t="str">
        <f t="shared" si="10"/>
        <v>lt004_protectionRL_ESTT_CRTFCTN</v>
      </c>
      <c r="B707" s="141" t="s">
        <v>26</v>
      </c>
      <c r="C707" s="137" t="s">
        <v>26</v>
      </c>
      <c r="D707" s="133" t="s">
        <v>40</v>
      </c>
      <c r="E707" s="136" t="s">
        <v>368</v>
      </c>
      <c r="F707" s="428" t="s">
        <v>2324</v>
      </c>
      <c r="G707" s="135" t="str">
        <f>VLOOKUP(A707,Plano_V3!$A$26:$G$753,7,0)</f>
        <v>7. Por iniciar</v>
      </c>
      <c r="H707" s="135"/>
      <c r="I707" s="480" t="s">
        <v>2372</v>
      </c>
      <c r="J707" s="152" t="str">
        <f>IF(VLOOKUP(A707,'Aux - pivots1'!$A:$E,3,0)=0, "",VLOOKUP(A707,'Aux - pivots1'!$A:$E,3,0))</f>
        <v/>
      </c>
      <c r="K707" s="152" t="str">
        <f>IF(VLOOKUP(A707,'Aux - pivots1'!$A:$E,4,0)=0, "",VLOOKUP(A707,'Aux - pivots1'!$A:$E,4,0))</f>
        <v/>
      </c>
      <c r="L707" s="152" t="str">
        <f>IF(VLOOKUP(A707,'Aux - pivots1'!$A:$E,5,0)=0, "",VLOOKUP(A707,'Aux - pivots1'!$A:$E,5,0))</f>
        <v/>
      </c>
      <c r="M707" s="205"/>
      <c r="N707" s="205"/>
      <c r="O707" s="337"/>
      <c r="Q707" s="268" t="s">
        <v>1883</v>
      </c>
    </row>
    <row r="708" spans="1:17" ht="16.2" customHeight="1">
      <c r="A708" s="29" t="str">
        <f t="shared" si="10"/>
        <v>lt004_protectionTYP_VHCL</v>
      </c>
      <c r="B708" s="141" t="s">
        <v>26</v>
      </c>
      <c r="C708" s="137" t="s">
        <v>26</v>
      </c>
      <c r="D708" s="133" t="s">
        <v>40</v>
      </c>
      <c r="E708" s="136" t="s">
        <v>368</v>
      </c>
      <c r="F708" s="428" t="s">
        <v>2325</v>
      </c>
      <c r="G708" s="135" t="str">
        <f>VLOOKUP(A708,Plano_V3!$A$26:$G$753,7,0)</f>
        <v>7. Por iniciar</v>
      </c>
      <c r="H708" s="135"/>
      <c r="I708" s="480" t="s">
        <v>2305</v>
      </c>
      <c r="J708" s="152" t="str">
        <f>IF(VLOOKUP(A708,'Aux - pivots1'!$A:$E,3,0)=0, "",VLOOKUP(A708,'Aux - pivots1'!$A:$E,3,0))</f>
        <v/>
      </c>
      <c r="K708" s="152" t="str">
        <f>IF(VLOOKUP(A708,'Aux - pivots1'!$A:$E,4,0)=0, "",VLOOKUP(A708,'Aux - pivots1'!$A:$E,4,0))</f>
        <v/>
      </c>
      <c r="L708" s="152" t="str">
        <f>IF(VLOOKUP(A708,'Aux - pivots1'!$A:$E,5,0)=0, "",VLOOKUP(A708,'Aux - pivots1'!$A:$E,5,0))</f>
        <v/>
      </c>
      <c r="M708" s="205"/>
      <c r="N708" s="205"/>
      <c r="O708" s="337"/>
      <c r="Q708" s="268" t="s">
        <v>1883</v>
      </c>
    </row>
    <row r="709" spans="1:17" ht="16.2" customHeight="1">
      <c r="A709" s="29" t="str">
        <f t="shared" si="10"/>
        <v>lt004_protectionDT_RGSTRTN</v>
      </c>
      <c r="B709" s="141" t="s">
        <v>26</v>
      </c>
      <c r="C709" s="137" t="s">
        <v>26</v>
      </c>
      <c r="D709" s="133" t="s">
        <v>40</v>
      </c>
      <c r="E709" s="136" t="s">
        <v>368</v>
      </c>
      <c r="F709" s="428" t="s">
        <v>2326</v>
      </c>
      <c r="G709" s="135" t="str">
        <f>VLOOKUP(A709,Plano_V3!$A$26:$G$753,7,0)</f>
        <v>7. Por iniciar</v>
      </c>
      <c r="H709" s="135"/>
      <c r="I709" s="480" t="s">
        <v>2372</v>
      </c>
      <c r="J709" s="152" t="str">
        <f>IF(VLOOKUP(A709,'Aux - pivots1'!$A:$E,3,0)=0, "",VLOOKUP(A709,'Aux - pivots1'!$A:$E,3,0))</f>
        <v/>
      </c>
      <c r="K709" s="152" t="str">
        <f>IF(VLOOKUP(A709,'Aux - pivots1'!$A:$E,4,0)=0, "",VLOOKUP(A709,'Aux - pivots1'!$A:$E,4,0))</f>
        <v/>
      </c>
      <c r="L709" s="152" t="str">
        <f>IF(VLOOKUP(A709,'Aux - pivots1'!$A:$E,5,0)=0, "",VLOOKUP(A709,'Aux - pivots1'!$A:$E,5,0))</f>
        <v/>
      </c>
      <c r="M709" s="205"/>
      <c r="N709" s="205"/>
      <c r="O709" s="337"/>
      <c r="Q709" s="268" t="s">
        <v>1883</v>
      </c>
    </row>
    <row r="710" spans="1:17" ht="16.2" customHeight="1">
      <c r="A710" s="29" t="str">
        <f t="shared" si="10"/>
        <v>lt004_protectionPRMRY_ENRGY_DMND_NN_RNWBL</v>
      </c>
      <c r="B710" s="141" t="s">
        <v>26</v>
      </c>
      <c r="C710" s="137" t="s">
        <v>26</v>
      </c>
      <c r="D710" s="133" t="s">
        <v>40</v>
      </c>
      <c r="E710" s="136" t="s">
        <v>368</v>
      </c>
      <c r="F710" s="428" t="s">
        <v>2327</v>
      </c>
      <c r="G710" s="135" t="str">
        <f>VLOOKUP(A710,Plano_V3!$A$26:$G$753,7,0)</f>
        <v>7. Por iniciar</v>
      </c>
      <c r="H710" s="135"/>
      <c r="I710" s="480" t="s">
        <v>2304</v>
      </c>
      <c r="J710" s="152" t="str">
        <f>IF(VLOOKUP(A710,'Aux - pivots1'!$A:$E,3,0)=0, "",VLOOKUP(A710,'Aux - pivots1'!$A:$E,3,0))</f>
        <v/>
      </c>
      <c r="K710" s="152" t="str">
        <f>IF(VLOOKUP(A710,'Aux - pivots1'!$A:$E,4,0)=0, "",VLOOKUP(A710,'Aux - pivots1'!$A:$E,4,0))</f>
        <v/>
      </c>
      <c r="L710" s="152" t="str">
        <f>IF(VLOOKUP(A710,'Aux - pivots1'!$A:$E,5,0)=0, "",VLOOKUP(A710,'Aux - pivots1'!$A:$E,5,0))</f>
        <v/>
      </c>
      <c r="M710" s="205"/>
      <c r="N710" s="205"/>
      <c r="O710" s="337"/>
      <c r="Q710" s="268" t="s">
        <v>1884</v>
      </c>
    </row>
    <row r="711" spans="1:17" ht="16.2" customHeight="1">
      <c r="A711" s="29" t="str">
        <f t="shared" si="10"/>
        <v>lt004_protectionPRMRY_ENRGY_DMND_TTL</v>
      </c>
      <c r="B711" s="141" t="s">
        <v>26</v>
      </c>
      <c r="C711" s="137" t="s">
        <v>26</v>
      </c>
      <c r="D711" s="133" t="s">
        <v>40</v>
      </c>
      <c r="E711" s="136" t="s">
        <v>368</v>
      </c>
      <c r="F711" s="428" t="s">
        <v>2328</v>
      </c>
      <c r="G711" s="135" t="str">
        <f>VLOOKUP(A711,Plano_V3!$A$26:$G$753,7,0)</f>
        <v>7. Por iniciar</v>
      </c>
      <c r="H711" s="135"/>
      <c r="I711" s="480" t="s">
        <v>2305</v>
      </c>
      <c r="J711" s="152" t="str">
        <f>IF(VLOOKUP(A711,'Aux - pivots1'!$A:$E,3,0)=0, "",VLOOKUP(A711,'Aux - pivots1'!$A:$E,3,0))</f>
        <v/>
      </c>
      <c r="K711" s="152" t="str">
        <f>IF(VLOOKUP(A711,'Aux - pivots1'!$A:$E,4,0)=0, "",VLOOKUP(A711,'Aux - pivots1'!$A:$E,4,0))</f>
        <v/>
      </c>
      <c r="L711" s="152" t="str">
        <f>IF(VLOOKUP(A711,'Aux - pivots1'!$A:$E,5,0)=0, "",VLOOKUP(A711,'Aux - pivots1'!$A:$E,5,0))</f>
        <v/>
      </c>
      <c r="M711" s="205"/>
      <c r="N711" s="205"/>
      <c r="O711" s="337"/>
      <c r="Q711" s="268" t="s">
        <v>1884</v>
      </c>
    </row>
    <row r="712" spans="1:17" ht="16.2" customHeight="1">
      <c r="A712" s="29" t="str">
        <f t="shared" si="10"/>
        <v>lt004_protectionPRMRY_ENRGY_DMND_RFRNC_VL</v>
      </c>
      <c r="B712" s="141" t="s">
        <v>26</v>
      </c>
      <c r="C712" s="137" t="s">
        <v>26</v>
      </c>
      <c r="D712" s="133" t="s">
        <v>40</v>
      </c>
      <c r="E712" s="136" t="s">
        <v>368</v>
      </c>
      <c r="F712" s="428" t="s">
        <v>2329</v>
      </c>
      <c r="G712" s="135" t="str">
        <f>VLOOKUP(A712,Plano_V3!$A$26:$G$753,7,0)</f>
        <v>7. Por iniciar</v>
      </c>
      <c r="H712" s="135"/>
      <c r="I712" s="480" t="s">
        <v>2305</v>
      </c>
      <c r="J712" s="152" t="str">
        <f>IF(VLOOKUP(A712,'Aux - pivots1'!$A:$E,3,0)=0, "",VLOOKUP(A712,'Aux - pivots1'!$A:$E,3,0))</f>
        <v/>
      </c>
      <c r="K712" s="152" t="str">
        <f>IF(VLOOKUP(A712,'Aux - pivots1'!$A:$E,4,0)=0, "",VLOOKUP(A712,'Aux - pivots1'!$A:$E,4,0))</f>
        <v/>
      </c>
      <c r="L712" s="152" t="str">
        <f>IF(VLOOKUP(A712,'Aux - pivots1'!$A:$E,5,0)=0, "",VLOOKUP(A712,'Aux - pivots1'!$A:$E,5,0))</f>
        <v/>
      </c>
      <c r="M712" s="205"/>
      <c r="N712" s="205"/>
      <c r="O712" s="337"/>
      <c r="Q712" s="268" t="s">
        <v>1884</v>
      </c>
    </row>
    <row r="713" spans="1:17" ht="16.2" customHeight="1">
      <c r="A713" s="29" t="str">
        <f t="shared" si="10"/>
        <v>lt004_protectionRL_ESTT_CLMT_ZN</v>
      </c>
      <c r="B713" s="141" t="s">
        <v>26</v>
      </c>
      <c r="C713" s="137" t="s">
        <v>26</v>
      </c>
      <c r="D713" s="133" t="s">
        <v>40</v>
      </c>
      <c r="E713" s="136" t="s">
        <v>368</v>
      </c>
      <c r="F713" s="428" t="s">
        <v>2330</v>
      </c>
      <c r="G713" s="135" t="str">
        <f>VLOOKUP(A713,Plano_V3!$A$26:$G$753,7,0)</f>
        <v>7. Por iniciar</v>
      </c>
      <c r="H713" s="135"/>
      <c r="I713" s="480" t="s">
        <v>2306</v>
      </c>
      <c r="J713" s="152" t="str">
        <f>IF(VLOOKUP(A713,'Aux - pivots1'!$A:$E,3,0)=0, "",VLOOKUP(A713,'Aux - pivots1'!$A:$E,3,0))</f>
        <v/>
      </c>
      <c r="K713" s="152" t="str">
        <f>IF(VLOOKUP(A713,'Aux - pivots1'!$A:$E,4,0)=0, "",VLOOKUP(A713,'Aux - pivots1'!$A:$E,4,0))</f>
        <v/>
      </c>
      <c r="L713" s="152" t="str">
        <f>IF(VLOOKUP(A713,'Aux - pivots1'!$A:$E,5,0)=0, "",VLOOKUP(A713,'Aux - pivots1'!$A:$E,5,0))</f>
        <v/>
      </c>
      <c r="M713" s="205"/>
      <c r="N713" s="205"/>
      <c r="O713" s="337"/>
      <c r="Q713" s="268" t="s">
        <v>1883</v>
      </c>
    </row>
    <row r="714" spans="1:17" ht="16.2" customHeight="1">
      <c r="A714" s="29" t="str">
        <f t="shared" si="10"/>
        <v>lt004_protectionflg_col</v>
      </c>
      <c r="B714" s="141" t="s">
        <v>26</v>
      </c>
      <c r="C714" s="137" t="s">
        <v>26</v>
      </c>
      <c r="D714" s="133" t="s">
        <v>40</v>
      </c>
      <c r="E714" s="136" t="s">
        <v>368</v>
      </c>
      <c r="F714" s="136" t="s">
        <v>479</v>
      </c>
      <c r="G714" s="135" t="str">
        <f>VLOOKUP(A714,Plano_V3!$A$26:$G$753,7,0)</f>
        <v>0. Cancelado</v>
      </c>
      <c r="H714" s="135" t="s">
        <v>612</v>
      </c>
      <c r="I714" s="142" t="s">
        <v>1873</v>
      </c>
      <c r="J714" s="152" t="str">
        <f>IF(VLOOKUP(A681,'Aux - pivots1'!$A:$E,3,0)=0, "",VLOOKUP(A681,'Aux - pivots1'!$A:$E,3,0))</f>
        <v/>
      </c>
      <c r="K714" s="152" t="str">
        <f>IF(VLOOKUP(A681,'Aux - pivots1'!$A:$E,4,0)=0, "",VLOOKUP(A681,'Aux - pivots1'!$A:$E,4,0))</f>
        <v/>
      </c>
      <c r="L714" s="152" t="str">
        <f>IF(VLOOKUP(A681,'Aux - pivots1'!$A:$E,5,0)=0, "",VLOOKUP(A681,'Aux - pivots1'!$A:$E,5,0))</f>
        <v/>
      </c>
      <c r="M714" s="205"/>
      <c r="N714" s="205"/>
      <c r="O714" s="337" t="s">
        <v>26</v>
      </c>
    </row>
    <row r="715" spans="1:17" ht="16.2" customHeight="1">
      <c r="A715" s="29" t="str">
        <f t="shared" si="10"/>
        <v>lt004_protectionflg_pro</v>
      </c>
      <c r="B715" s="141" t="s">
        <v>26</v>
      </c>
      <c r="C715" s="137" t="s">
        <v>26</v>
      </c>
      <c r="D715" s="133" t="s">
        <v>40</v>
      </c>
      <c r="E715" s="136" t="s">
        <v>368</v>
      </c>
      <c r="F715" s="136" t="s">
        <v>481</v>
      </c>
      <c r="G715" s="135" t="str">
        <f>VLOOKUP(A715,Plano_V3!$A$26:$G$753,7,0)</f>
        <v>0. Cancelado</v>
      </c>
      <c r="H715" s="135" t="s">
        <v>612</v>
      </c>
      <c r="I715" s="142" t="s">
        <v>1873</v>
      </c>
      <c r="J715" s="152" t="str">
        <f>IF(VLOOKUP(A682,'Aux - pivots1'!$A:$E,3,0)=0, "",VLOOKUP(A682,'Aux - pivots1'!$A:$E,3,0))</f>
        <v/>
      </c>
      <c r="K715" s="152" t="str">
        <f>IF(VLOOKUP(A682,'Aux - pivots1'!$A:$E,4,0)=0, "",VLOOKUP(A682,'Aux - pivots1'!$A:$E,4,0))</f>
        <v/>
      </c>
      <c r="L715" s="152" t="str">
        <f>IF(VLOOKUP(A682,'Aux - pivots1'!$A:$E,5,0)=0, "",VLOOKUP(A682,'Aux - pivots1'!$A:$E,5,0))</f>
        <v/>
      </c>
      <c r="M715" s="205"/>
      <c r="N715" s="205"/>
      <c r="O715" s="337" t="s">
        <v>26</v>
      </c>
    </row>
    <row r="716" spans="1:17" ht="16.2"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52" t="str">
        <f>IF(VLOOKUP(A683,'Aux - pivots1'!$A:$E,3,0)=0, "",VLOOKUP(A683,'Aux - pivots1'!$A:$E,3,0))</f>
        <v/>
      </c>
      <c r="K716" s="152" t="str">
        <f>IF(VLOOKUP(A683,'Aux - pivots1'!$A:$E,4,0)=0, "",VLOOKUP(A683,'Aux - pivots1'!$A:$E,4,0))</f>
        <v/>
      </c>
      <c r="L716" s="152" t="str">
        <f>IF(VLOOKUP(A683,'Aux - pivots1'!$A:$E,5,0)=0, "",VLOOKUP(A683,'Aux - pivots1'!$A:$E,5,0))</f>
        <v/>
      </c>
      <c r="M716" s="205"/>
      <c r="N716" s="205"/>
      <c r="O716" s="337" t="s">
        <v>29</v>
      </c>
    </row>
    <row r="717" spans="1:17" ht="16.2">
      <c r="A717" s="29" t="str">
        <f t="shared" si="10"/>
        <v>modesg_inp_emss_nacearea_atividade</v>
      </c>
      <c r="B717" s="141" t="s">
        <v>26</v>
      </c>
      <c r="C717" s="137" t="s">
        <v>181</v>
      </c>
      <c r="D717" s="133" t="s">
        <v>40</v>
      </c>
      <c r="E717" s="134" t="s">
        <v>218</v>
      </c>
      <c r="F717" s="133" t="s">
        <v>658</v>
      </c>
      <c r="G717" s="135" t="str">
        <f>VLOOKUP(A717,Plano_V3!$A$26:$G$753,7,0)</f>
        <v>0. Cancelado</v>
      </c>
      <c r="H717" s="135" t="s">
        <v>611</v>
      </c>
      <c r="I717" s="142"/>
      <c r="J717" s="152" t="str">
        <f>IF(VLOOKUP(A684,'Aux - pivots1'!$A:$E,3,0)=0, "",VLOOKUP(A684,'Aux - pivots1'!$A:$E,3,0))</f>
        <v/>
      </c>
      <c r="K717" s="152" t="str">
        <f>IF(VLOOKUP(A684,'Aux - pivots1'!$A:$E,4,0)=0, "",VLOOKUP(A684,'Aux - pivots1'!$A:$E,4,0))</f>
        <v/>
      </c>
      <c r="L717" s="152" t="str">
        <f>IF(VLOOKUP(A684,'Aux - pivots1'!$A:$E,5,0)=0, "",VLOOKUP(A684,'Aux - pivots1'!$A:$E,5,0))</f>
        <v/>
      </c>
      <c r="M717" s="205"/>
      <c r="N717" s="205"/>
      <c r="O717" s="337" t="s">
        <v>29</v>
      </c>
    </row>
    <row r="718" spans="1:17" ht="16.2">
      <c r="A718" s="29" t="str">
        <f t="shared" si="10"/>
        <v>modesg_inp_emss_nacetipo_atividade</v>
      </c>
      <c r="B718" s="141" t="s">
        <v>26</v>
      </c>
      <c r="C718" s="137" t="s">
        <v>181</v>
      </c>
      <c r="D718" s="133" t="s">
        <v>40</v>
      </c>
      <c r="E718" s="134" t="s">
        <v>218</v>
      </c>
      <c r="F718" s="133" t="s">
        <v>659</v>
      </c>
      <c r="G718" s="135" t="str">
        <f>VLOOKUP(A718,Plano_V3!$A$26:$G$753,7,0)</f>
        <v>0. Cancelado</v>
      </c>
      <c r="H718" s="135" t="s">
        <v>611</v>
      </c>
      <c r="I718" s="142"/>
      <c r="J718" s="152" t="str">
        <f>IF(VLOOKUP(A685,'Aux - pivots1'!$A:$E,3,0)=0, "",VLOOKUP(A685,'Aux - pivots1'!$A:$E,3,0))</f>
        <v/>
      </c>
      <c r="K718" s="152" t="str">
        <f>IF(VLOOKUP(A685,'Aux - pivots1'!$A:$E,4,0)=0, "",VLOOKUP(A685,'Aux - pivots1'!$A:$E,4,0))</f>
        <v/>
      </c>
      <c r="L718" s="152" t="str">
        <f>IF(VLOOKUP(A685,'Aux - pivots1'!$A:$E,5,0)=0, "",VLOOKUP(A685,'Aux - pivots1'!$A:$E,5,0))</f>
        <v/>
      </c>
      <c r="M718" s="205"/>
      <c r="N718" s="205"/>
      <c r="O718" s="337" t="s">
        <v>29</v>
      </c>
    </row>
    <row r="719" spans="1:17" ht="16.2">
      <c r="A719" s="29" t="str">
        <f t="shared" si="10"/>
        <v>modesg_inp_emss_nacesub_tipo_atividade_1</v>
      </c>
      <c r="B719" s="141" t="s">
        <v>26</v>
      </c>
      <c r="C719" s="137" t="s">
        <v>181</v>
      </c>
      <c r="D719" s="133" t="s">
        <v>40</v>
      </c>
      <c r="E719" s="134" t="s">
        <v>218</v>
      </c>
      <c r="F719" s="133" t="s">
        <v>660</v>
      </c>
      <c r="G719" s="135" t="str">
        <f>VLOOKUP(A719,Plano_V3!$A$26:$G$753,7,0)</f>
        <v>0. Cancelado</v>
      </c>
      <c r="H719" s="135" t="s">
        <v>611</v>
      </c>
      <c r="I719" s="142"/>
      <c r="J719" s="152" t="str">
        <f>IF(VLOOKUP(A686,'Aux - pivots1'!$A:$E,3,0)=0, "",VLOOKUP(A686,'Aux - pivots1'!$A:$E,3,0))</f>
        <v/>
      </c>
      <c r="K719" s="152" t="str">
        <f>IF(VLOOKUP(A686,'Aux - pivots1'!$A:$E,4,0)=0, "",VLOOKUP(A686,'Aux - pivots1'!$A:$E,4,0))</f>
        <v/>
      </c>
      <c r="L719" s="152" t="str">
        <f>IF(VLOOKUP(A686,'Aux - pivots1'!$A:$E,5,0)=0, "",VLOOKUP(A686,'Aux - pivots1'!$A:$E,5,0))</f>
        <v/>
      </c>
      <c r="M719" s="205"/>
      <c r="N719" s="205"/>
      <c r="O719" s="337" t="s">
        <v>29</v>
      </c>
    </row>
    <row r="720" spans="1:17" ht="16.2">
      <c r="A720" s="29" t="str">
        <f t="shared" si="10"/>
        <v>modesg_inp_emss_nacesub_tipo_atividade_2</v>
      </c>
      <c r="B720" s="141" t="s">
        <v>26</v>
      </c>
      <c r="C720" s="137" t="s">
        <v>181</v>
      </c>
      <c r="D720" s="133" t="s">
        <v>40</v>
      </c>
      <c r="E720" s="134" t="s">
        <v>218</v>
      </c>
      <c r="F720" s="133" t="s">
        <v>661</v>
      </c>
      <c r="G720" s="135" t="str">
        <f>VLOOKUP(A720,Plano_V3!$A$26:$G$753,7,0)</f>
        <v>0. Cancelado</v>
      </c>
      <c r="H720" s="135" t="s">
        <v>611</v>
      </c>
      <c r="I720" s="142"/>
      <c r="J720" s="152" t="str">
        <f>IF(VLOOKUP(A688,'Aux - pivots1'!$A:$E,3,0)=0, "",VLOOKUP(A688,'Aux - pivots1'!$A:$E,3,0))</f>
        <v/>
      </c>
      <c r="K720" s="152" t="str">
        <f>IF(VLOOKUP(A688,'Aux - pivots1'!$A:$E,4,0)=0, "",VLOOKUP(A688,'Aux - pivots1'!$A:$E,4,0))</f>
        <v/>
      </c>
      <c r="L720" s="152" t="str">
        <f>IF(VLOOKUP(A688,'Aux - pivots1'!$A:$E,5,0)=0, "",VLOOKUP(A688,'Aux - pivots1'!$A:$E,5,0))</f>
        <v/>
      </c>
      <c r="M720" s="205"/>
      <c r="N720" s="205"/>
      <c r="O720" s="337" t="s">
        <v>29</v>
      </c>
    </row>
    <row r="721" spans="1:15" ht="16.2">
      <c r="A721" s="29" t="str">
        <f t="shared" si="10"/>
        <v>modesg_inp_emss_naceunidades_unidade_funcional</v>
      </c>
      <c r="B721" s="141" t="s">
        <v>26</v>
      </c>
      <c r="C721" s="137" t="s">
        <v>181</v>
      </c>
      <c r="D721" s="133" t="s">
        <v>40</v>
      </c>
      <c r="E721" s="134" t="s">
        <v>218</v>
      </c>
      <c r="F721" s="133" t="s">
        <v>662</v>
      </c>
      <c r="G721" s="135" t="str">
        <f>VLOOKUP(A721,Plano_V3!$A$26:$G$753,7,0)</f>
        <v>0. Cancelado</v>
      </c>
      <c r="H721" s="135" t="s">
        <v>611</v>
      </c>
      <c r="I721" s="142"/>
      <c r="J721" s="152" t="str">
        <f>IF(VLOOKUP(A689,'Aux - pivots1'!$A:$E,3,0)=0, "",VLOOKUP(A689,'Aux - pivots1'!$A:$E,3,0))</f>
        <v/>
      </c>
      <c r="K721" s="152" t="str">
        <f>IF(VLOOKUP(A689,'Aux - pivots1'!$A:$E,4,0)=0, "",VLOOKUP(A689,'Aux - pivots1'!$A:$E,4,0))</f>
        <v/>
      </c>
      <c r="L721" s="152" t="str">
        <f>IF(VLOOKUP(A689,'Aux - pivots1'!$A:$E,5,0)=0, "",VLOOKUP(A689,'Aux - pivots1'!$A:$E,5,0))</f>
        <v/>
      </c>
      <c r="M721" s="205"/>
      <c r="N721" s="205"/>
      <c r="O721" s="337" t="s">
        <v>29</v>
      </c>
    </row>
    <row r="722" spans="1:15" ht="16.2">
      <c r="A722" s="29" t="str">
        <f t="shared" si="10"/>
        <v>modesg_inp_emss_nacefator_emissao</v>
      </c>
      <c r="B722" s="141" t="s">
        <v>26</v>
      </c>
      <c r="C722" s="137" t="s">
        <v>181</v>
      </c>
      <c r="D722" s="133" t="s">
        <v>40</v>
      </c>
      <c r="E722" s="134" t="s">
        <v>218</v>
      </c>
      <c r="F722" s="133" t="s">
        <v>663</v>
      </c>
      <c r="G722" s="135" t="str">
        <f>VLOOKUP(A722,Plano_V3!$A$26:$G$753,7,0)</f>
        <v>0. Cancelado</v>
      </c>
      <c r="H722" s="135" t="s">
        <v>611</v>
      </c>
      <c r="I722" s="142"/>
      <c r="J722" s="152" t="str">
        <f>IF(VLOOKUP(A690,'Aux - pivots1'!$A:$E,3,0)=0, "",VLOOKUP(A690,'Aux - pivots1'!$A:$E,3,0))</f>
        <v/>
      </c>
      <c r="K722" s="152" t="str">
        <f>IF(VLOOKUP(A690,'Aux - pivots1'!$A:$E,4,0)=0, "",VLOOKUP(A690,'Aux - pivots1'!$A:$E,4,0))</f>
        <v/>
      </c>
      <c r="L722" s="152" t="str">
        <f>IF(VLOOKUP(A690,'Aux - pivots1'!$A:$E,5,0)=0, "",VLOOKUP(A690,'Aux - pivots1'!$A:$E,5,0))</f>
        <v/>
      </c>
      <c r="M722" s="205"/>
      <c r="N722" s="205"/>
      <c r="O722" s="337" t="s">
        <v>29</v>
      </c>
    </row>
    <row r="723" spans="1:15" ht="16.2">
      <c r="A723" s="29" t="str">
        <f t="shared" si="10"/>
        <v>modesg_inp_km_medios_emss_vclsmedia_scp1_emss</v>
      </c>
      <c r="B723" s="141" t="s">
        <v>26</v>
      </c>
      <c r="C723" s="137" t="s">
        <v>181</v>
      </c>
      <c r="D723" s="133" t="s">
        <v>40</v>
      </c>
      <c r="E723" s="134" t="s">
        <v>213</v>
      </c>
      <c r="F723" s="133" t="s">
        <v>664</v>
      </c>
      <c r="G723" s="135" t="str">
        <f>VLOOKUP(A723,Plano_V3!$A$26:$G$753,7,0)</f>
        <v>0. Cancelado</v>
      </c>
      <c r="H723" s="135" t="s">
        <v>611</v>
      </c>
      <c r="I723" s="142"/>
      <c r="J723" s="152" t="str">
        <f>IF(VLOOKUP(A714,'Aux - pivots1'!$A:$E,3,0)=0, "",VLOOKUP(A714,'Aux - pivots1'!$A:$E,3,0))</f>
        <v/>
      </c>
      <c r="K723" s="152" t="str">
        <f>IF(VLOOKUP(A714,'Aux - pivots1'!$A:$E,4,0)=0, "",VLOOKUP(A714,'Aux - pivots1'!$A:$E,4,0))</f>
        <v/>
      </c>
      <c r="L723" s="152" t="str">
        <f>IF(VLOOKUP(A714,'Aux - pivots1'!$A:$E,5,0)=0, "",VLOOKUP(A714,'Aux - pivots1'!$A:$E,5,0))</f>
        <v/>
      </c>
      <c r="M723" s="205"/>
      <c r="N723" s="205"/>
      <c r="O723" s="337" t="s">
        <v>29</v>
      </c>
    </row>
    <row r="724" spans="1:15" ht="16.2">
      <c r="A724" s="29" t="str">
        <f t="shared" si="10"/>
        <v>modesg_inp_km_medios_emss_vclsmedia_scp2_emss</v>
      </c>
      <c r="B724" s="141" t="s">
        <v>26</v>
      </c>
      <c r="C724" s="137" t="s">
        <v>181</v>
      </c>
      <c r="D724" s="133" t="s">
        <v>40</v>
      </c>
      <c r="E724" s="134" t="s">
        <v>213</v>
      </c>
      <c r="F724" s="133" t="s">
        <v>665</v>
      </c>
      <c r="G724" s="135" t="str">
        <f>VLOOKUP(A724,Plano_V3!$A$26:$G$753,7,0)</f>
        <v>0. Cancelado</v>
      </c>
      <c r="H724" s="135" t="s">
        <v>611</v>
      </c>
      <c r="I724" s="142"/>
      <c r="J724" s="152" t="str">
        <f>IF(VLOOKUP(A715,'Aux - pivots1'!$A:$E,3,0)=0, "",VLOOKUP(A715,'Aux - pivots1'!$A:$E,3,0))</f>
        <v/>
      </c>
      <c r="K724" s="152" t="str">
        <f>IF(VLOOKUP(A715,'Aux - pivots1'!$A:$E,4,0)=0, "",VLOOKUP(A715,'Aux - pivots1'!$A:$E,4,0))</f>
        <v/>
      </c>
      <c r="L724" s="152" t="str">
        <f>IF(VLOOKUP(A715,'Aux - pivots1'!$A:$E,5,0)=0, "",VLOOKUP(A715,'Aux - pivots1'!$A:$E,5,0))</f>
        <v/>
      </c>
      <c r="M724" s="205"/>
      <c r="N724" s="205"/>
      <c r="O724" s="337" t="s">
        <v>29</v>
      </c>
    </row>
    <row r="725" spans="1:15" ht="16.2">
      <c r="A725" s="29" t="str">
        <f t="shared" si="10"/>
        <v>modesg_inp_km_medios_emss_vclsmedia_scp3_emss</v>
      </c>
      <c r="B725" s="145" t="s">
        <v>26</v>
      </c>
      <c r="C725" s="146" t="s">
        <v>181</v>
      </c>
      <c r="D725" s="147" t="s">
        <v>40</v>
      </c>
      <c r="E725" s="148" t="s">
        <v>213</v>
      </c>
      <c r="F725" s="147" t="s">
        <v>666</v>
      </c>
      <c r="G725" s="149" t="str">
        <f>VLOOKUP(A725,Plano_V3!$A$26:$G$753,7,0)</f>
        <v>0. Cancelado</v>
      </c>
      <c r="H725" s="149" t="s">
        <v>611</v>
      </c>
      <c r="I725" s="150"/>
      <c r="J725" s="152" t="str">
        <f>IF(VLOOKUP(A716,'Aux - pivots1'!$A:$E,3,0)=0, "",VLOOKUP(A716,'Aux - pivots1'!$A:$E,3,0))</f>
        <v/>
      </c>
      <c r="K725" s="152" t="str">
        <f>IF(VLOOKUP(A716,'Aux - pivots1'!$A:$E,4,0)=0, "",VLOOKUP(A716,'Aux - pivots1'!$A:$E,4,0))</f>
        <v/>
      </c>
      <c r="L725" s="152" t="str">
        <f>IF(VLOOKUP(A716,'Aux - pivots1'!$A:$E,5,0)=0, "",VLOOKUP(A716,'Aux - pivots1'!$A:$E,5,0))</f>
        <v/>
      </c>
      <c r="M725" s="207"/>
      <c r="N725" s="207"/>
      <c r="O725" s="33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A617" sqref="A617"/>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667</v>
      </c>
      <c r="B3" t="s">
        <v>668</v>
      </c>
    </row>
    <row r="4" spans="1:2">
      <c r="A4" t="s">
        <v>2061</v>
      </c>
      <c r="B4" s="323">
        <v>7</v>
      </c>
    </row>
    <row r="5" spans="1:2">
      <c r="A5" t="s">
        <v>2062</v>
      </c>
      <c r="B5" s="323">
        <v>7</v>
      </c>
    </row>
    <row r="6" spans="1:2">
      <c r="A6" t="s">
        <v>2063</v>
      </c>
      <c r="B6" s="323">
        <v>7</v>
      </c>
    </row>
    <row r="7" spans="1:2">
      <c r="A7" t="s">
        <v>2064</v>
      </c>
      <c r="B7" s="323">
        <v>7</v>
      </c>
    </row>
    <row r="8" spans="1:2">
      <c r="A8" t="s">
        <v>2065</v>
      </c>
      <c r="B8" s="323">
        <v>7</v>
      </c>
    </row>
    <row r="9" spans="1:2">
      <c r="A9" t="s">
        <v>2066</v>
      </c>
      <c r="B9" s="323">
        <v>7</v>
      </c>
    </row>
    <row r="10" spans="1:2">
      <c r="A10" t="s">
        <v>2067</v>
      </c>
      <c r="B10" s="323">
        <v>7</v>
      </c>
    </row>
    <row r="11" spans="1:2">
      <c r="A11" t="s">
        <v>2068</v>
      </c>
      <c r="B11" s="323">
        <v>7</v>
      </c>
    </row>
    <row r="12" spans="1:2">
      <c r="A12" t="s">
        <v>2069</v>
      </c>
      <c r="B12" s="323">
        <v>7</v>
      </c>
    </row>
    <row r="13" spans="1:2">
      <c r="A13" t="s">
        <v>2070</v>
      </c>
      <c r="B13" s="323">
        <v>7</v>
      </c>
    </row>
    <row r="14" spans="1:2">
      <c r="A14" t="s">
        <v>2071</v>
      </c>
      <c r="B14" s="323">
        <v>7</v>
      </c>
    </row>
    <row r="15" spans="1:2">
      <c r="A15" t="s">
        <v>2072</v>
      </c>
      <c r="B15" s="323">
        <v>7</v>
      </c>
    </row>
    <row r="16" spans="1:2">
      <c r="A16" t="s">
        <v>2073</v>
      </c>
      <c r="B16" s="323">
        <v>7</v>
      </c>
    </row>
    <row r="17" spans="1:2">
      <c r="A17" t="s">
        <v>2074</v>
      </c>
      <c r="B17" s="323">
        <v>7</v>
      </c>
    </row>
    <row r="18" spans="1:2">
      <c r="A18" t="s">
        <v>2075</v>
      </c>
      <c r="B18" s="323">
        <v>7</v>
      </c>
    </row>
    <row r="19" spans="1:2">
      <c r="A19" t="s">
        <v>2076</v>
      </c>
      <c r="B19" s="323">
        <v>7</v>
      </c>
    </row>
    <row r="20" spans="1:2">
      <c r="A20" t="s">
        <v>2077</v>
      </c>
      <c r="B20" s="323">
        <v>7</v>
      </c>
    </row>
    <row r="21" spans="1:2">
      <c r="A21" t="s">
        <v>2078</v>
      </c>
      <c r="B21" s="323">
        <v>7</v>
      </c>
    </row>
    <row r="22" spans="1:2">
      <c r="A22" t="s">
        <v>2079</v>
      </c>
      <c r="B22" s="323">
        <v>7</v>
      </c>
    </row>
    <row r="23" spans="1:2">
      <c r="A23" t="s">
        <v>2080</v>
      </c>
      <c r="B23" s="323">
        <v>7</v>
      </c>
    </row>
    <row r="24" spans="1:2">
      <c r="A24" t="s">
        <v>2081</v>
      </c>
      <c r="B24" s="323">
        <v>7</v>
      </c>
    </row>
    <row r="25" spans="1:2">
      <c r="A25" t="s">
        <v>2082</v>
      </c>
      <c r="B25" s="323">
        <v>7</v>
      </c>
    </row>
    <row r="26" spans="1:2">
      <c r="A26" t="s">
        <v>2083</v>
      </c>
      <c r="B26" s="323">
        <v>7</v>
      </c>
    </row>
    <row r="27" spans="1:2">
      <c r="A27" t="s">
        <v>2084</v>
      </c>
      <c r="B27" s="323">
        <v>7</v>
      </c>
    </row>
    <row r="28" spans="1:2">
      <c r="A28" t="s">
        <v>2085</v>
      </c>
      <c r="B28" s="323">
        <v>7</v>
      </c>
    </row>
    <row r="29" spans="1:2">
      <c r="A29" t="s">
        <v>669</v>
      </c>
      <c r="B29" s="323">
        <v>7</v>
      </c>
    </row>
    <row r="30" spans="1:2">
      <c r="A30" t="s">
        <v>2086</v>
      </c>
      <c r="B30" s="323">
        <v>7</v>
      </c>
    </row>
    <row r="31" spans="1:2">
      <c r="A31" t="s">
        <v>2087</v>
      </c>
      <c r="B31" s="323">
        <v>7</v>
      </c>
    </row>
    <row r="32" spans="1:2">
      <c r="A32" t="s">
        <v>2088</v>
      </c>
      <c r="B32" s="323">
        <v>7</v>
      </c>
    </row>
    <row r="33" spans="1:2">
      <c r="A33" t="s">
        <v>2089</v>
      </c>
      <c r="B33" s="323">
        <v>7</v>
      </c>
    </row>
    <row r="34" spans="1:2">
      <c r="A34" t="s">
        <v>2090</v>
      </c>
      <c r="B34" s="323">
        <v>7</v>
      </c>
    </row>
    <row r="35" spans="1:2">
      <c r="A35" t="s">
        <v>2091</v>
      </c>
      <c r="B35" s="323">
        <v>7</v>
      </c>
    </row>
    <row r="36" spans="1:2">
      <c r="A36" t="s">
        <v>2092</v>
      </c>
      <c r="B36" s="323">
        <v>7</v>
      </c>
    </row>
    <row r="37" spans="1:2">
      <c r="A37" t="s">
        <v>2093</v>
      </c>
      <c r="B37" s="323">
        <v>7</v>
      </c>
    </row>
    <row r="38" spans="1:2">
      <c r="A38" t="s">
        <v>670</v>
      </c>
      <c r="B38" s="323">
        <v>7</v>
      </c>
    </row>
    <row r="39" spans="1:2">
      <c r="A39" t="s">
        <v>671</v>
      </c>
      <c r="B39" s="323">
        <v>7</v>
      </c>
    </row>
    <row r="40" spans="1:2">
      <c r="A40" t="s">
        <v>672</v>
      </c>
      <c r="B40" s="323">
        <v>7</v>
      </c>
    </row>
    <row r="41" spans="1:2">
      <c r="A41" t="s">
        <v>673</v>
      </c>
      <c r="B41" s="323">
        <v>7</v>
      </c>
    </row>
    <row r="42" spans="1:2">
      <c r="A42" t="s">
        <v>2094</v>
      </c>
      <c r="B42" s="323">
        <v>7</v>
      </c>
    </row>
    <row r="43" spans="1:2">
      <c r="A43" t="s">
        <v>2095</v>
      </c>
      <c r="B43" s="323">
        <v>7</v>
      </c>
    </row>
    <row r="44" spans="1:2">
      <c r="A44" t="s">
        <v>2096</v>
      </c>
      <c r="B44" s="323">
        <v>7</v>
      </c>
    </row>
    <row r="45" spans="1:2">
      <c r="A45" t="s">
        <v>2097</v>
      </c>
      <c r="B45" s="323">
        <v>7</v>
      </c>
    </row>
    <row r="46" spans="1:2">
      <c r="A46" t="s">
        <v>2098</v>
      </c>
      <c r="B46" s="323">
        <v>7</v>
      </c>
    </row>
    <row r="47" spans="1:2">
      <c r="A47" t="s">
        <v>2099</v>
      </c>
      <c r="B47" s="323">
        <v>7</v>
      </c>
    </row>
    <row r="48" spans="1:2">
      <c r="A48" t="s">
        <v>2100</v>
      </c>
      <c r="B48" s="323">
        <v>7</v>
      </c>
    </row>
    <row r="49" spans="1:2">
      <c r="A49" t="s">
        <v>674</v>
      </c>
      <c r="B49" s="323">
        <v>1</v>
      </c>
    </row>
    <row r="50" spans="1:2">
      <c r="A50" t="s">
        <v>675</v>
      </c>
      <c r="B50" s="323">
        <v>1</v>
      </c>
    </row>
    <row r="51" spans="1:2">
      <c r="A51" t="s">
        <v>676</v>
      </c>
      <c r="B51" s="323">
        <v>1</v>
      </c>
    </row>
    <row r="52" spans="1:2">
      <c r="A52" t="s">
        <v>2240</v>
      </c>
      <c r="B52" s="323">
        <v>8</v>
      </c>
    </row>
    <row r="53" spans="1:2">
      <c r="A53" t="s">
        <v>677</v>
      </c>
      <c r="B53" s="323">
        <v>1</v>
      </c>
    </row>
    <row r="54" spans="1:2">
      <c r="A54" t="s">
        <v>678</v>
      </c>
      <c r="B54" s="323">
        <v>1</v>
      </c>
    </row>
    <row r="55" spans="1:2">
      <c r="A55" t="s">
        <v>679</v>
      </c>
      <c r="B55" s="323">
        <v>1</v>
      </c>
    </row>
    <row r="56" spans="1:2">
      <c r="A56" t="s">
        <v>680</v>
      </c>
      <c r="B56" s="323">
        <v>1</v>
      </c>
    </row>
    <row r="57" spans="1:2">
      <c r="A57" t="s">
        <v>2241</v>
      </c>
      <c r="B57" s="323">
        <v>8</v>
      </c>
    </row>
    <row r="58" spans="1:2">
      <c r="A58" t="s">
        <v>681</v>
      </c>
      <c r="B58" s="323">
        <v>1</v>
      </c>
    </row>
    <row r="59" spans="1:2">
      <c r="A59" t="s">
        <v>2242</v>
      </c>
      <c r="B59" s="323">
        <v>8</v>
      </c>
    </row>
    <row r="60" spans="1:2">
      <c r="A60" t="s">
        <v>2243</v>
      </c>
      <c r="B60" s="323">
        <v>8</v>
      </c>
    </row>
    <row r="61" spans="1:2">
      <c r="A61" t="s">
        <v>2244</v>
      </c>
      <c r="B61" s="323">
        <v>8</v>
      </c>
    </row>
    <row r="62" spans="1:2">
      <c r="A62" t="s">
        <v>2245</v>
      </c>
      <c r="B62" s="323">
        <v>8</v>
      </c>
    </row>
    <row r="63" spans="1:2">
      <c r="A63" t="s">
        <v>2246</v>
      </c>
      <c r="B63" s="323">
        <v>8</v>
      </c>
    </row>
    <row r="64" spans="1:2">
      <c r="A64" t="s">
        <v>682</v>
      </c>
      <c r="B64" s="323">
        <v>6</v>
      </c>
    </row>
    <row r="65" spans="1:2">
      <c r="A65" t="s">
        <v>683</v>
      </c>
      <c r="B65" s="323">
        <v>6</v>
      </c>
    </row>
    <row r="66" spans="1:2">
      <c r="A66" t="s">
        <v>684</v>
      </c>
      <c r="B66" s="323">
        <v>1</v>
      </c>
    </row>
    <row r="67" spans="1:2">
      <c r="A67" t="s">
        <v>685</v>
      </c>
      <c r="B67" s="323">
        <v>6</v>
      </c>
    </row>
    <row r="68" spans="1:2">
      <c r="A68" t="s">
        <v>686</v>
      </c>
      <c r="B68" s="323">
        <v>1</v>
      </c>
    </row>
    <row r="69" spans="1:2">
      <c r="A69" t="s">
        <v>687</v>
      </c>
      <c r="B69" s="323">
        <v>1</v>
      </c>
    </row>
    <row r="70" spans="1:2">
      <c r="A70" t="s">
        <v>688</v>
      </c>
      <c r="B70" s="323">
        <v>1</v>
      </c>
    </row>
    <row r="71" spans="1:2">
      <c r="A71" t="s">
        <v>2247</v>
      </c>
      <c r="B71" s="323">
        <v>8</v>
      </c>
    </row>
    <row r="72" spans="1:2">
      <c r="A72" t="s">
        <v>2248</v>
      </c>
      <c r="B72" s="323">
        <v>8</v>
      </c>
    </row>
    <row r="73" spans="1:2">
      <c r="A73" t="s">
        <v>2249</v>
      </c>
      <c r="B73" s="323">
        <v>8</v>
      </c>
    </row>
    <row r="74" spans="1:2">
      <c r="A74" t="s">
        <v>689</v>
      </c>
      <c r="B74" s="323">
        <v>1</v>
      </c>
    </row>
    <row r="75" spans="1:2">
      <c r="A75" t="s">
        <v>690</v>
      </c>
      <c r="B75" s="323">
        <v>1</v>
      </c>
    </row>
    <row r="76" spans="1:2">
      <c r="A76" t="s">
        <v>691</v>
      </c>
      <c r="B76" s="323">
        <v>1</v>
      </c>
    </row>
    <row r="77" spans="1:2">
      <c r="A77" t="s">
        <v>692</v>
      </c>
      <c r="B77" s="323">
        <v>1</v>
      </c>
    </row>
    <row r="78" spans="1:2">
      <c r="A78" t="s">
        <v>2250</v>
      </c>
      <c r="B78" s="323">
        <v>8</v>
      </c>
    </row>
    <row r="79" spans="1:2">
      <c r="A79" t="s">
        <v>2251</v>
      </c>
      <c r="B79" s="323">
        <v>8</v>
      </c>
    </row>
    <row r="80" spans="1:2">
      <c r="A80" t="s">
        <v>693</v>
      </c>
      <c r="B80" s="323">
        <v>4</v>
      </c>
    </row>
    <row r="81" spans="1:2">
      <c r="A81" t="s">
        <v>694</v>
      </c>
      <c r="B81" s="323">
        <v>4</v>
      </c>
    </row>
    <row r="82" spans="1:2">
      <c r="A82" t="s">
        <v>695</v>
      </c>
      <c r="B82" s="323">
        <v>4</v>
      </c>
    </row>
    <row r="83" spans="1:2">
      <c r="A83" t="s">
        <v>2252</v>
      </c>
      <c r="B83" s="323">
        <v>8</v>
      </c>
    </row>
    <row r="84" spans="1:2">
      <c r="A84" t="s">
        <v>2253</v>
      </c>
      <c r="B84" s="323">
        <v>8</v>
      </c>
    </row>
    <row r="85" spans="1:2">
      <c r="A85" t="s">
        <v>696</v>
      </c>
      <c r="B85" s="323">
        <v>1</v>
      </c>
    </row>
    <row r="86" spans="1:2">
      <c r="A86" t="s">
        <v>697</v>
      </c>
      <c r="B86" s="323">
        <v>1</v>
      </c>
    </row>
    <row r="87" spans="1:2">
      <c r="A87" t="s">
        <v>698</v>
      </c>
      <c r="B87" s="323">
        <v>1</v>
      </c>
    </row>
    <row r="88" spans="1:2">
      <c r="A88" t="s">
        <v>699</v>
      </c>
      <c r="B88" s="323">
        <v>4</v>
      </c>
    </row>
    <row r="89" spans="1:2">
      <c r="A89" t="s">
        <v>700</v>
      </c>
      <c r="B89" s="323">
        <v>1</v>
      </c>
    </row>
    <row r="90" spans="1:2">
      <c r="A90" t="s">
        <v>2254</v>
      </c>
      <c r="B90" s="323">
        <v>8</v>
      </c>
    </row>
    <row r="91" spans="1:2">
      <c r="A91" t="s">
        <v>701</v>
      </c>
      <c r="B91" s="323">
        <v>1</v>
      </c>
    </row>
    <row r="92" spans="1:2">
      <c r="A92" t="s">
        <v>702</v>
      </c>
      <c r="B92" s="323">
        <v>1</v>
      </c>
    </row>
    <row r="93" spans="1:2">
      <c r="A93" t="s">
        <v>703</v>
      </c>
      <c r="B93" s="323">
        <v>1</v>
      </c>
    </row>
    <row r="94" spans="1:2">
      <c r="A94" t="s">
        <v>2255</v>
      </c>
      <c r="B94" s="323">
        <v>8</v>
      </c>
    </row>
    <row r="95" spans="1:2">
      <c r="A95" t="s">
        <v>704</v>
      </c>
      <c r="B95" s="323">
        <v>1</v>
      </c>
    </row>
    <row r="96" spans="1:2">
      <c r="A96" t="s">
        <v>705</v>
      </c>
      <c r="B96" s="323">
        <v>1</v>
      </c>
    </row>
    <row r="97" spans="1:2">
      <c r="A97" t="s">
        <v>706</v>
      </c>
      <c r="B97" s="323">
        <v>1</v>
      </c>
    </row>
    <row r="98" spans="1:2">
      <c r="A98" t="s">
        <v>707</v>
      </c>
      <c r="B98" s="323">
        <v>1</v>
      </c>
    </row>
    <row r="99" spans="1:2">
      <c r="A99" t="s">
        <v>708</v>
      </c>
      <c r="B99" s="323">
        <v>1</v>
      </c>
    </row>
    <row r="100" spans="1:2">
      <c r="A100" t="s">
        <v>709</v>
      </c>
      <c r="B100" s="323">
        <v>1</v>
      </c>
    </row>
    <row r="101" spans="1:2">
      <c r="A101" t="s">
        <v>710</v>
      </c>
      <c r="B101" s="323">
        <v>1</v>
      </c>
    </row>
    <row r="102" spans="1:2">
      <c r="A102" t="s">
        <v>2280</v>
      </c>
      <c r="B102" s="323">
        <v>8</v>
      </c>
    </row>
    <row r="103" spans="1:2">
      <c r="A103" t="s">
        <v>2281</v>
      </c>
      <c r="B103" s="323">
        <v>8</v>
      </c>
    </row>
    <row r="104" spans="1:2">
      <c r="A104" t="s">
        <v>711</v>
      </c>
      <c r="B104" s="323">
        <v>1</v>
      </c>
    </row>
    <row r="105" spans="1:2">
      <c r="A105" t="s">
        <v>712</v>
      </c>
      <c r="B105" s="323">
        <v>1</v>
      </c>
    </row>
    <row r="106" spans="1:2">
      <c r="A106" t="s">
        <v>713</v>
      </c>
      <c r="B106" s="323">
        <v>1</v>
      </c>
    </row>
    <row r="107" spans="1:2">
      <c r="A107" t="s">
        <v>2282</v>
      </c>
      <c r="B107" s="323">
        <v>1</v>
      </c>
    </row>
    <row r="108" spans="1:2">
      <c r="A108" t="s">
        <v>2283</v>
      </c>
      <c r="B108" s="323">
        <v>1</v>
      </c>
    </row>
    <row r="109" spans="1:2">
      <c r="A109" t="s">
        <v>714</v>
      </c>
      <c r="B109" s="323">
        <v>1</v>
      </c>
    </row>
    <row r="110" spans="1:2">
      <c r="A110" t="s">
        <v>715</v>
      </c>
      <c r="B110" s="323">
        <v>1</v>
      </c>
    </row>
    <row r="111" spans="1:2">
      <c r="A111" t="s">
        <v>2284</v>
      </c>
      <c r="B111" s="323">
        <v>1</v>
      </c>
    </row>
    <row r="112" spans="1:2">
      <c r="A112" t="s">
        <v>2285</v>
      </c>
      <c r="B112" s="323">
        <v>1</v>
      </c>
    </row>
    <row r="113" spans="1:2">
      <c r="A113" t="s">
        <v>716</v>
      </c>
      <c r="B113" s="323">
        <v>1</v>
      </c>
    </row>
    <row r="114" spans="1:2">
      <c r="A114" t="s">
        <v>2286</v>
      </c>
      <c r="B114" s="323">
        <v>8</v>
      </c>
    </row>
    <row r="115" spans="1:2">
      <c r="A115" t="s">
        <v>717</v>
      </c>
      <c r="B115" s="323">
        <v>1</v>
      </c>
    </row>
    <row r="116" spans="1:2">
      <c r="A116" t="s">
        <v>718</v>
      </c>
      <c r="B116" s="323">
        <v>4</v>
      </c>
    </row>
    <row r="117" spans="1:2">
      <c r="A117" t="s">
        <v>719</v>
      </c>
      <c r="B117" s="323">
        <v>4</v>
      </c>
    </row>
    <row r="118" spans="1:2">
      <c r="A118" t="s">
        <v>720</v>
      </c>
      <c r="B118" s="323">
        <v>4</v>
      </c>
    </row>
    <row r="119" spans="1:2">
      <c r="A119" t="s">
        <v>721</v>
      </c>
      <c r="B119" s="323">
        <v>1</v>
      </c>
    </row>
    <row r="120" spans="1:2">
      <c r="A120" t="s">
        <v>722</v>
      </c>
      <c r="B120" s="323">
        <v>1</v>
      </c>
    </row>
    <row r="121" spans="1:2">
      <c r="A121" t="s">
        <v>723</v>
      </c>
      <c r="B121" s="323">
        <v>1</v>
      </c>
    </row>
    <row r="122" spans="1:2">
      <c r="A122" t="s">
        <v>724</v>
      </c>
      <c r="B122" s="323">
        <v>1</v>
      </c>
    </row>
    <row r="123" spans="1:2">
      <c r="A123" t="s">
        <v>2287</v>
      </c>
      <c r="B123" s="323">
        <v>8</v>
      </c>
    </row>
    <row r="124" spans="1:2">
      <c r="A124" t="s">
        <v>725</v>
      </c>
      <c r="B124" s="323">
        <v>1</v>
      </c>
    </row>
    <row r="125" spans="1:2">
      <c r="A125" t="s">
        <v>726</v>
      </c>
      <c r="B125" s="323">
        <v>1</v>
      </c>
    </row>
    <row r="126" spans="1:2">
      <c r="A126" t="s">
        <v>727</v>
      </c>
      <c r="B126" s="323">
        <v>1</v>
      </c>
    </row>
    <row r="127" spans="1:2">
      <c r="A127" t="s">
        <v>728</v>
      </c>
      <c r="B127" s="323">
        <v>1</v>
      </c>
    </row>
    <row r="128" spans="1:2">
      <c r="A128" t="s">
        <v>729</v>
      </c>
      <c r="B128" s="323">
        <v>1</v>
      </c>
    </row>
    <row r="129" spans="1:2">
      <c r="A129" t="s">
        <v>730</v>
      </c>
      <c r="B129" s="323">
        <v>1</v>
      </c>
    </row>
    <row r="130" spans="1:2">
      <c r="A130" t="s">
        <v>731</v>
      </c>
      <c r="B130" s="323">
        <v>1</v>
      </c>
    </row>
    <row r="131" spans="1:2">
      <c r="A131" t="s">
        <v>732</v>
      </c>
      <c r="B131" s="323">
        <v>1</v>
      </c>
    </row>
    <row r="132" spans="1:2">
      <c r="A132" t="s">
        <v>733</v>
      </c>
      <c r="B132" s="323">
        <v>3</v>
      </c>
    </row>
    <row r="133" spans="1:2">
      <c r="A133" t="s">
        <v>734</v>
      </c>
      <c r="B133" s="323">
        <v>1</v>
      </c>
    </row>
    <row r="134" spans="1:2">
      <c r="A134" t="s">
        <v>2288</v>
      </c>
      <c r="B134" s="323">
        <v>1</v>
      </c>
    </row>
    <row r="135" spans="1:2">
      <c r="A135" t="s">
        <v>735</v>
      </c>
      <c r="B135" s="323">
        <v>1</v>
      </c>
    </row>
    <row r="136" spans="1:2">
      <c r="A136" t="s">
        <v>736</v>
      </c>
      <c r="B136" s="323">
        <v>1</v>
      </c>
    </row>
    <row r="137" spans="1:2">
      <c r="A137" t="s">
        <v>2289</v>
      </c>
      <c r="B137" s="323">
        <v>1</v>
      </c>
    </row>
    <row r="138" spans="1:2">
      <c r="A138" t="s">
        <v>2290</v>
      </c>
      <c r="B138" s="323">
        <v>1</v>
      </c>
    </row>
    <row r="139" spans="1:2">
      <c r="A139" t="s">
        <v>2291</v>
      </c>
      <c r="B139" s="323">
        <v>1</v>
      </c>
    </row>
    <row r="140" spans="1:2">
      <c r="A140" t="s">
        <v>2292</v>
      </c>
      <c r="B140" s="323">
        <v>1</v>
      </c>
    </row>
    <row r="141" spans="1:2">
      <c r="A141" t="s">
        <v>737</v>
      </c>
      <c r="B141" s="323">
        <v>1</v>
      </c>
    </row>
    <row r="142" spans="1:2">
      <c r="A142" t="s">
        <v>738</v>
      </c>
      <c r="B142" s="323">
        <v>1</v>
      </c>
    </row>
    <row r="143" spans="1:2">
      <c r="A143" t="s">
        <v>2293</v>
      </c>
      <c r="B143" s="323">
        <v>1</v>
      </c>
    </row>
    <row r="144" spans="1:2">
      <c r="A144" t="s">
        <v>2294</v>
      </c>
      <c r="B144" s="323">
        <v>1</v>
      </c>
    </row>
    <row r="145" spans="1:2">
      <c r="A145" t="s">
        <v>2295</v>
      </c>
      <c r="B145" s="323">
        <v>1</v>
      </c>
    </row>
    <row r="146" spans="1:2">
      <c r="A146" t="s">
        <v>739</v>
      </c>
      <c r="B146" s="323">
        <v>1</v>
      </c>
    </row>
    <row r="147" spans="1:2">
      <c r="A147" t="s">
        <v>740</v>
      </c>
      <c r="B147" s="323">
        <v>1</v>
      </c>
    </row>
    <row r="148" spans="1:2">
      <c r="A148" t="s">
        <v>741</v>
      </c>
      <c r="B148" s="323">
        <v>1</v>
      </c>
    </row>
    <row r="149" spans="1:2">
      <c r="A149" t="s">
        <v>742</v>
      </c>
      <c r="B149" s="323">
        <v>1</v>
      </c>
    </row>
    <row r="150" spans="1:2">
      <c r="A150" t="s">
        <v>2296</v>
      </c>
      <c r="B150" s="323">
        <v>1</v>
      </c>
    </row>
    <row r="151" spans="1:2">
      <c r="A151" t="s">
        <v>743</v>
      </c>
      <c r="B151" s="323">
        <v>1</v>
      </c>
    </row>
    <row r="152" spans="1:2">
      <c r="A152" t="s">
        <v>744</v>
      </c>
      <c r="B152" s="323">
        <v>1</v>
      </c>
    </row>
    <row r="153" spans="1:2">
      <c r="A153" t="s">
        <v>2297</v>
      </c>
      <c r="B153" s="323">
        <v>1</v>
      </c>
    </row>
    <row r="154" spans="1:2">
      <c r="A154" t="s">
        <v>2298</v>
      </c>
      <c r="B154" s="323">
        <v>1</v>
      </c>
    </row>
    <row r="155" spans="1:2">
      <c r="A155" t="s">
        <v>2299</v>
      </c>
      <c r="B155" s="323">
        <v>1</v>
      </c>
    </row>
    <row r="156" spans="1:2">
      <c r="A156" t="s">
        <v>2300</v>
      </c>
      <c r="B156" s="323">
        <v>1</v>
      </c>
    </row>
    <row r="157" spans="1:2">
      <c r="A157" t="s">
        <v>745</v>
      </c>
      <c r="B157" s="323">
        <v>1</v>
      </c>
    </row>
    <row r="158" spans="1:2">
      <c r="A158" t="s">
        <v>746</v>
      </c>
      <c r="B158" s="323">
        <v>1</v>
      </c>
    </row>
    <row r="159" spans="1:2">
      <c r="A159" t="s">
        <v>2301</v>
      </c>
      <c r="B159" s="323">
        <v>1</v>
      </c>
    </row>
    <row r="160" spans="1:2">
      <c r="A160" t="s">
        <v>2302</v>
      </c>
      <c r="B160" s="323">
        <v>1</v>
      </c>
    </row>
    <row r="161" spans="1:2">
      <c r="A161" t="s">
        <v>2303</v>
      </c>
      <c r="B161" s="323">
        <v>1</v>
      </c>
    </row>
    <row r="162" spans="1:2">
      <c r="A162" t="s">
        <v>2331</v>
      </c>
      <c r="B162" s="323">
        <v>8</v>
      </c>
    </row>
    <row r="163" spans="1:2">
      <c r="A163" t="s">
        <v>2332</v>
      </c>
      <c r="B163" s="323">
        <v>8</v>
      </c>
    </row>
    <row r="164" spans="1:2">
      <c r="A164" t="s">
        <v>747</v>
      </c>
      <c r="B164" s="323">
        <v>1</v>
      </c>
    </row>
    <row r="165" spans="1:2">
      <c r="A165" t="s">
        <v>2333</v>
      </c>
      <c r="B165" s="323">
        <v>8</v>
      </c>
    </row>
    <row r="166" spans="1:2">
      <c r="A166" t="s">
        <v>748</v>
      </c>
      <c r="B166" s="323">
        <v>1</v>
      </c>
    </row>
    <row r="167" spans="1:2">
      <c r="A167" t="s">
        <v>2334</v>
      </c>
      <c r="B167" s="323">
        <v>8</v>
      </c>
    </row>
    <row r="168" spans="1:2">
      <c r="A168" t="s">
        <v>749</v>
      </c>
      <c r="B168" s="323">
        <v>1</v>
      </c>
    </row>
    <row r="169" spans="1:2">
      <c r="A169" t="s">
        <v>750</v>
      </c>
      <c r="B169" s="323">
        <v>1</v>
      </c>
    </row>
    <row r="170" spans="1:2">
      <c r="A170" t="s">
        <v>751</v>
      </c>
      <c r="B170" s="323">
        <v>1</v>
      </c>
    </row>
    <row r="171" spans="1:2">
      <c r="A171" t="s">
        <v>752</v>
      </c>
      <c r="B171" s="323">
        <v>1</v>
      </c>
    </row>
    <row r="172" spans="1:2">
      <c r="A172" t="s">
        <v>2335</v>
      </c>
      <c r="B172" s="323">
        <v>8</v>
      </c>
    </row>
    <row r="173" spans="1:2">
      <c r="A173" t="s">
        <v>2336</v>
      </c>
      <c r="B173" s="323">
        <v>8</v>
      </c>
    </row>
    <row r="174" spans="1:2">
      <c r="A174" t="s">
        <v>753</v>
      </c>
      <c r="B174" s="323">
        <v>1</v>
      </c>
    </row>
    <row r="175" spans="1:2">
      <c r="A175" t="s">
        <v>754</v>
      </c>
      <c r="B175" s="323">
        <v>4</v>
      </c>
    </row>
    <row r="176" spans="1:2">
      <c r="A176" t="s">
        <v>755</v>
      </c>
      <c r="B176" s="323">
        <v>4</v>
      </c>
    </row>
    <row r="177" spans="1:2">
      <c r="A177" t="s">
        <v>756</v>
      </c>
      <c r="B177" s="323">
        <v>0</v>
      </c>
    </row>
    <row r="178" spans="1:2">
      <c r="A178" t="s">
        <v>757</v>
      </c>
      <c r="B178" s="323">
        <v>0</v>
      </c>
    </row>
    <row r="179" spans="1:2">
      <c r="A179" t="s">
        <v>758</v>
      </c>
      <c r="B179" s="323">
        <v>0</v>
      </c>
    </row>
    <row r="180" spans="1:2">
      <c r="A180" t="s">
        <v>2337</v>
      </c>
      <c r="B180" s="323">
        <v>8</v>
      </c>
    </row>
    <row r="181" spans="1:2">
      <c r="A181" t="s">
        <v>759</v>
      </c>
      <c r="B181" s="323">
        <v>0</v>
      </c>
    </row>
    <row r="182" spans="1:2">
      <c r="A182" t="s">
        <v>2338</v>
      </c>
      <c r="B182" s="323">
        <v>8</v>
      </c>
    </row>
    <row r="183" spans="1:2">
      <c r="A183" t="s">
        <v>760</v>
      </c>
      <c r="B183" s="323">
        <v>1</v>
      </c>
    </row>
    <row r="184" spans="1:2">
      <c r="A184" t="s">
        <v>761</v>
      </c>
      <c r="B184" s="323">
        <v>1</v>
      </c>
    </row>
    <row r="185" spans="1:2">
      <c r="A185" t="s">
        <v>762</v>
      </c>
      <c r="B185" s="323">
        <v>1</v>
      </c>
    </row>
    <row r="186" spans="1:2">
      <c r="A186" t="s">
        <v>763</v>
      </c>
      <c r="B186" s="323">
        <v>1</v>
      </c>
    </row>
    <row r="187" spans="1:2">
      <c r="A187" t="s">
        <v>2339</v>
      </c>
      <c r="B187" s="323">
        <v>8</v>
      </c>
    </row>
    <row r="188" spans="1:2">
      <c r="A188" t="s">
        <v>2340</v>
      </c>
      <c r="B188" s="323">
        <v>8</v>
      </c>
    </row>
    <row r="189" spans="1:2">
      <c r="A189" t="s">
        <v>2341</v>
      </c>
      <c r="B189" s="323">
        <v>8</v>
      </c>
    </row>
    <row r="190" spans="1:2">
      <c r="A190" t="s">
        <v>764</v>
      </c>
      <c r="B190" s="323">
        <v>1</v>
      </c>
    </row>
    <row r="191" spans="1:2">
      <c r="A191" t="s">
        <v>765</v>
      </c>
      <c r="B191" s="323">
        <v>1</v>
      </c>
    </row>
    <row r="192" spans="1:2">
      <c r="A192" t="s">
        <v>2342</v>
      </c>
      <c r="B192" s="323">
        <v>8</v>
      </c>
    </row>
    <row r="193" spans="1:2">
      <c r="A193" t="s">
        <v>766</v>
      </c>
      <c r="B193" s="323">
        <v>1</v>
      </c>
    </row>
    <row r="194" spans="1:2">
      <c r="A194" t="s">
        <v>2343</v>
      </c>
      <c r="B194" s="323">
        <v>8</v>
      </c>
    </row>
    <row r="195" spans="1:2">
      <c r="A195" t="s">
        <v>2344</v>
      </c>
      <c r="B195" s="323">
        <v>8</v>
      </c>
    </row>
    <row r="196" spans="1:2">
      <c r="A196" t="s">
        <v>2345</v>
      </c>
      <c r="B196" s="323">
        <v>8</v>
      </c>
    </row>
    <row r="197" spans="1:2">
      <c r="A197" t="s">
        <v>2346</v>
      </c>
      <c r="B197" s="323">
        <v>8</v>
      </c>
    </row>
    <row r="198" spans="1:2">
      <c r="A198" t="s">
        <v>767</v>
      </c>
      <c r="B198" s="323">
        <v>1</v>
      </c>
    </row>
    <row r="199" spans="1:2">
      <c r="A199" t="s">
        <v>2347</v>
      </c>
      <c r="B199" s="323">
        <v>8</v>
      </c>
    </row>
    <row r="200" spans="1:2">
      <c r="A200" t="s">
        <v>2348</v>
      </c>
      <c r="B200" s="323">
        <v>8</v>
      </c>
    </row>
    <row r="201" spans="1:2">
      <c r="A201" t="s">
        <v>768</v>
      </c>
      <c r="B201" s="323">
        <v>1</v>
      </c>
    </row>
    <row r="202" spans="1:2">
      <c r="A202" t="s">
        <v>769</v>
      </c>
      <c r="B202" s="323">
        <v>1</v>
      </c>
    </row>
    <row r="203" spans="1:2">
      <c r="A203" t="s">
        <v>2349</v>
      </c>
      <c r="B203" s="323">
        <v>8</v>
      </c>
    </row>
    <row r="204" spans="1:2">
      <c r="A204" t="s">
        <v>770</v>
      </c>
      <c r="B204" s="323">
        <v>1</v>
      </c>
    </row>
    <row r="205" spans="1:2">
      <c r="A205" t="s">
        <v>2350</v>
      </c>
      <c r="B205" s="323">
        <v>8</v>
      </c>
    </row>
    <row r="206" spans="1:2">
      <c r="A206" t="s">
        <v>2351</v>
      </c>
      <c r="B206" s="323">
        <v>8</v>
      </c>
    </row>
    <row r="207" spans="1:2">
      <c r="A207" t="s">
        <v>2352</v>
      </c>
      <c r="B207" s="323">
        <v>8</v>
      </c>
    </row>
    <row r="208" spans="1:2">
      <c r="A208" t="s">
        <v>2353</v>
      </c>
      <c r="B208" s="323">
        <v>8</v>
      </c>
    </row>
    <row r="209" spans="1:2">
      <c r="A209" t="s">
        <v>771</v>
      </c>
      <c r="B209" s="323">
        <v>1</v>
      </c>
    </row>
    <row r="210" spans="1:2">
      <c r="A210" t="s">
        <v>772</v>
      </c>
      <c r="B210" s="323">
        <v>1</v>
      </c>
    </row>
    <row r="211" spans="1:2">
      <c r="A211" t="s">
        <v>773</v>
      </c>
      <c r="B211" s="323">
        <v>1</v>
      </c>
    </row>
    <row r="212" spans="1:2">
      <c r="A212" t="s">
        <v>774</v>
      </c>
      <c r="B212" s="323">
        <v>1</v>
      </c>
    </row>
    <row r="213" spans="1:2">
      <c r="A213" t="s">
        <v>775</v>
      </c>
      <c r="B213" s="323">
        <v>1</v>
      </c>
    </row>
    <row r="214" spans="1:2">
      <c r="A214" t="s">
        <v>776</v>
      </c>
      <c r="B214" s="323">
        <v>1</v>
      </c>
    </row>
    <row r="215" spans="1:2">
      <c r="A215" t="s">
        <v>777</v>
      </c>
      <c r="B215" s="323">
        <v>1</v>
      </c>
    </row>
    <row r="216" spans="1:2">
      <c r="A216" t="s">
        <v>778</v>
      </c>
      <c r="B216" s="323">
        <v>1</v>
      </c>
    </row>
    <row r="217" spans="1:2">
      <c r="A217" t="s">
        <v>779</v>
      </c>
      <c r="B217" s="323">
        <v>8</v>
      </c>
    </row>
    <row r="218" spans="1:2">
      <c r="A218" t="s">
        <v>780</v>
      </c>
      <c r="B218" s="323">
        <v>1</v>
      </c>
    </row>
    <row r="219" spans="1:2">
      <c r="A219" t="s">
        <v>2355</v>
      </c>
      <c r="B219" s="323">
        <v>8</v>
      </c>
    </row>
    <row r="220" spans="1:2">
      <c r="A220" t="s">
        <v>2360</v>
      </c>
      <c r="B220" s="323">
        <v>8</v>
      </c>
    </row>
    <row r="221" spans="1:2">
      <c r="A221" t="s">
        <v>2361</v>
      </c>
      <c r="B221" s="323">
        <v>8</v>
      </c>
    </row>
    <row r="222" spans="1:2">
      <c r="A222" t="s">
        <v>2362</v>
      </c>
      <c r="B222" s="323">
        <v>8</v>
      </c>
    </row>
    <row r="223" spans="1:2">
      <c r="A223" t="s">
        <v>1912</v>
      </c>
      <c r="B223" s="323">
        <v>1</v>
      </c>
    </row>
    <row r="224" spans="1:2">
      <c r="A224" t="s">
        <v>2363</v>
      </c>
      <c r="B224" s="323">
        <v>8</v>
      </c>
    </row>
    <row r="225" spans="1:2">
      <c r="A225" t="s">
        <v>2364</v>
      </c>
      <c r="B225" s="323">
        <v>8</v>
      </c>
    </row>
    <row r="226" spans="1:2">
      <c r="A226" t="s">
        <v>2365</v>
      </c>
      <c r="B226" s="323">
        <v>8</v>
      </c>
    </row>
    <row r="227" spans="1:2">
      <c r="A227" t="s">
        <v>2366</v>
      </c>
      <c r="B227" s="323">
        <v>8</v>
      </c>
    </row>
    <row r="228" spans="1:2">
      <c r="A228" t="s">
        <v>1913</v>
      </c>
      <c r="B228" s="323">
        <v>5</v>
      </c>
    </row>
    <row r="229" spans="1:2">
      <c r="A229" t="s">
        <v>1914</v>
      </c>
      <c r="B229" s="323">
        <v>1</v>
      </c>
    </row>
    <row r="230" spans="1:2">
      <c r="A230" t="s">
        <v>1915</v>
      </c>
      <c r="B230" s="323">
        <v>1</v>
      </c>
    </row>
    <row r="231" spans="1:2">
      <c r="A231" t="s">
        <v>781</v>
      </c>
      <c r="B231" s="323">
        <v>1</v>
      </c>
    </row>
    <row r="232" spans="1:2">
      <c r="A232" t="s">
        <v>782</v>
      </c>
      <c r="B232" s="323">
        <v>1</v>
      </c>
    </row>
    <row r="233" spans="1:2">
      <c r="A233" t="s">
        <v>783</v>
      </c>
      <c r="B233" s="323">
        <v>1</v>
      </c>
    </row>
    <row r="234" spans="1:2">
      <c r="A234" t="s">
        <v>784</v>
      </c>
      <c r="B234" s="323">
        <v>1</v>
      </c>
    </row>
    <row r="235" spans="1:2">
      <c r="A235" t="s">
        <v>785</v>
      </c>
      <c r="B235" s="323">
        <v>1</v>
      </c>
    </row>
    <row r="236" spans="1:2">
      <c r="A236" t="s">
        <v>786</v>
      </c>
      <c r="B236" s="323">
        <v>1</v>
      </c>
    </row>
    <row r="237" spans="1:2">
      <c r="A237" t="s">
        <v>787</v>
      </c>
      <c r="B237" s="323">
        <v>1</v>
      </c>
    </row>
    <row r="238" spans="1:2">
      <c r="A238" t="s">
        <v>788</v>
      </c>
      <c r="B238" s="323">
        <v>1</v>
      </c>
    </row>
    <row r="239" spans="1:2">
      <c r="A239" t="s">
        <v>789</v>
      </c>
      <c r="B239" s="323">
        <v>1</v>
      </c>
    </row>
    <row r="240" spans="1:2">
      <c r="A240" t="s">
        <v>1916</v>
      </c>
      <c r="B240" s="323">
        <v>1</v>
      </c>
    </row>
    <row r="241" spans="1:2">
      <c r="A241" t="s">
        <v>1917</v>
      </c>
      <c r="B241" s="323">
        <v>1</v>
      </c>
    </row>
    <row r="242" spans="1:2">
      <c r="A242" t="s">
        <v>1918</v>
      </c>
      <c r="B242" s="323">
        <v>1</v>
      </c>
    </row>
    <row r="243" spans="1:2">
      <c r="A243" t="s">
        <v>1919</v>
      </c>
      <c r="B243" s="323">
        <v>1</v>
      </c>
    </row>
    <row r="244" spans="1:2">
      <c r="A244" t="s">
        <v>1920</v>
      </c>
      <c r="B244" s="323">
        <v>1</v>
      </c>
    </row>
    <row r="245" spans="1:2">
      <c r="A245" t="s">
        <v>1921</v>
      </c>
      <c r="B245" s="323">
        <v>1</v>
      </c>
    </row>
    <row r="246" spans="1:2">
      <c r="A246" t="s">
        <v>1922</v>
      </c>
      <c r="B246" s="323">
        <v>1</v>
      </c>
    </row>
    <row r="247" spans="1:2">
      <c r="A247" t="s">
        <v>1923</v>
      </c>
      <c r="B247" s="323">
        <v>1</v>
      </c>
    </row>
    <row r="248" spans="1:2">
      <c r="A248" t="s">
        <v>1924</v>
      </c>
      <c r="B248" s="323">
        <v>1</v>
      </c>
    </row>
    <row r="249" spans="1:2">
      <c r="A249" t="s">
        <v>1925</v>
      </c>
      <c r="B249" s="323">
        <v>1</v>
      </c>
    </row>
    <row r="250" spans="1:2">
      <c r="A250" t="s">
        <v>1926</v>
      </c>
      <c r="B250" s="323">
        <v>1</v>
      </c>
    </row>
    <row r="251" spans="1:2">
      <c r="A251" t="s">
        <v>1927</v>
      </c>
      <c r="B251" s="323">
        <v>1</v>
      </c>
    </row>
    <row r="252" spans="1:2">
      <c r="A252" t="s">
        <v>1928</v>
      </c>
      <c r="B252" s="323">
        <v>1</v>
      </c>
    </row>
    <row r="253" spans="1:2">
      <c r="A253" t="s">
        <v>1929</v>
      </c>
      <c r="B253" s="323">
        <v>1</v>
      </c>
    </row>
    <row r="254" spans="1:2">
      <c r="A254" t="s">
        <v>1930</v>
      </c>
      <c r="B254" s="323">
        <v>1</v>
      </c>
    </row>
    <row r="255" spans="1:2">
      <c r="A255" t="s">
        <v>790</v>
      </c>
      <c r="B255" s="323">
        <v>1</v>
      </c>
    </row>
    <row r="256" spans="1:2">
      <c r="A256" t="s">
        <v>791</v>
      </c>
      <c r="B256" s="323">
        <v>1</v>
      </c>
    </row>
    <row r="257" spans="1:2">
      <c r="A257" t="s">
        <v>792</v>
      </c>
      <c r="B257" s="323">
        <v>1</v>
      </c>
    </row>
    <row r="258" spans="1:2">
      <c r="A258" t="s">
        <v>793</v>
      </c>
      <c r="B258" s="323">
        <v>1</v>
      </c>
    </row>
    <row r="259" spans="1:2">
      <c r="A259" t="s">
        <v>794</v>
      </c>
      <c r="B259" s="323">
        <v>1</v>
      </c>
    </row>
    <row r="260" spans="1:2">
      <c r="A260" t="s">
        <v>795</v>
      </c>
      <c r="B260" s="323">
        <v>1</v>
      </c>
    </row>
    <row r="261" spans="1:2">
      <c r="A261" t="s">
        <v>796</v>
      </c>
      <c r="B261" s="323">
        <v>1</v>
      </c>
    </row>
    <row r="262" spans="1:2">
      <c r="A262" t="s">
        <v>797</v>
      </c>
      <c r="B262" s="323">
        <v>1</v>
      </c>
    </row>
    <row r="263" spans="1:2">
      <c r="A263" t="s">
        <v>798</v>
      </c>
      <c r="B263" s="323">
        <v>1</v>
      </c>
    </row>
    <row r="264" spans="1:2">
      <c r="A264" t="s">
        <v>799</v>
      </c>
      <c r="B264" s="323">
        <v>1</v>
      </c>
    </row>
    <row r="265" spans="1:2">
      <c r="A265" t="s">
        <v>800</v>
      </c>
      <c r="B265" s="323">
        <v>1</v>
      </c>
    </row>
    <row r="266" spans="1:2">
      <c r="A266" t="s">
        <v>801</v>
      </c>
      <c r="B266" s="323">
        <v>0</v>
      </c>
    </row>
    <row r="267" spans="1:2">
      <c r="A267" t="s">
        <v>802</v>
      </c>
      <c r="B267" s="323">
        <v>1</v>
      </c>
    </row>
    <row r="268" spans="1:2">
      <c r="A268" t="s">
        <v>803</v>
      </c>
      <c r="B268" s="323">
        <v>1</v>
      </c>
    </row>
    <row r="269" spans="1:2">
      <c r="A269" t="s">
        <v>804</v>
      </c>
      <c r="B269" s="323">
        <v>1</v>
      </c>
    </row>
    <row r="270" spans="1:2">
      <c r="A270" t="s">
        <v>805</v>
      </c>
      <c r="B270" s="323">
        <v>1</v>
      </c>
    </row>
    <row r="271" spans="1:2">
      <c r="A271" t="s">
        <v>806</v>
      </c>
      <c r="B271" s="323">
        <v>1</v>
      </c>
    </row>
    <row r="272" spans="1:2">
      <c r="A272" t="s">
        <v>807</v>
      </c>
      <c r="B272" s="323">
        <v>1</v>
      </c>
    </row>
    <row r="273" spans="1:2">
      <c r="A273" t="s">
        <v>808</v>
      </c>
      <c r="B273" s="323">
        <v>1</v>
      </c>
    </row>
    <row r="274" spans="1:2">
      <c r="A274" t="s">
        <v>809</v>
      </c>
      <c r="B274" s="323">
        <v>1</v>
      </c>
    </row>
    <row r="275" spans="1:2">
      <c r="A275" t="s">
        <v>810</v>
      </c>
      <c r="B275" s="323">
        <v>1</v>
      </c>
    </row>
    <row r="276" spans="1:2">
      <c r="A276" t="s">
        <v>811</v>
      </c>
      <c r="B276" s="323">
        <v>1</v>
      </c>
    </row>
    <row r="277" spans="1:2">
      <c r="A277" t="s">
        <v>812</v>
      </c>
      <c r="B277" s="323">
        <v>1</v>
      </c>
    </row>
    <row r="278" spans="1:2">
      <c r="A278" t="s">
        <v>813</v>
      </c>
      <c r="B278" s="323">
        <v>1</v>
      </c>
    </row>
    <row r="279" spans="1:2">
      <c r="A279" t="s">
        <v>814</v>
      </c>
      <c r="B279" s="323">
        <v>1</v>
      </c>
    </row>
    <row r="280" spans="1:2">
      <c r="A280" t="s">
        <v>815</v>
      </c>
      <c r="B280" s="323">
        <v>1</v>
      </c>
    </row>
    <row r="281" spans="1:2">
      <c r="A281" t="s">
        <v>816</v>
      </c>
      <c r="B281" s="323">
        <v>1</v>
      </c>
    </row>
    <row r="282" spans="1:2">
      <c r="A282" t="s">
        <v>817</v>
      </c>
      <c r="B282" s="323">
        <v>1</v>
      </c>
    </row>
    <row r="283" spans="1:2">
      <c r="A283" t="s">
        <v>818</v>
      </c>
      <c r="B283" s="323">
        <v>0</v>
      </c>
    </row>
    <row r="284" spans="1:2">
      <c r="A284" t="s">
        <v>819</v>
      </c>
      <c r="B284" s="323">
        <v>1</v>
      </c>
    </row>
    <row r="285" spans="1:2">
      <c r="A285" t="s">
        <v>820</v>
      </c>
      <c r="B285" s="323">
        <v>1</v>
      </c>
    </row>
    <row r="286" spans="1:2">
      <c r="A286" t="s">
        <v>821</v>
      </c>
      <c r="B286" s="323">
        <v>1</v>
      </c>
    </row>
    <row r="287" spans="1:2">
      <c r="A287" t="s">
        <v>822</v>
      </c>
      <c r="B287" s="323">
        <v>0</v>
      </c>
    </row>
    <row r="288" spans="1:2">
      <c r="A288" t="s">
        <v>823</v>
      </c>
      <c r="B288" s="323">
        <v>1</v>
      </c>
    </row>
    <row r="289" spans="1:2">
      <c r="A289" t="s">
        <v>824</v>
      </c>
      <c r="B289" s="323">
        <v>1</v>
      </c>
    </row>
    <row r="290" spans="1:2">
      <c r="A290" t="s">
        <v>825</v>
      </c>
      <c r="B290" s="323">
        <v>1</v>
      </c>
    </row>
    <row r="291" spans="1:2">
      <c r="A291" t="s">
        <v>826</v>
      </c>
      <c r="B291" s="323">
        <v>0</v>
      </c>
    </row>
    <row r="292" spans="1:2">
      <c r="A292" t="s">
        <v>827</v>
      </c>
      <c r="B292" s="323">
        <v>1</v>
      </c>
    </row>
    <row r="293" spans="1:2">
      <c r="A293" t="s">
        <v>828</v>
      </c>
      <c r="B293" s="323">
        <v>1</v>
      </c>
    </row>
    <row r="294" spans="1:2">
      <c r="A294" t="s">
        <v>829</v>
      </c>
      <c r="B294" s="323">
        <v>1</v>
      </c>
    </row>
    <row r="295" spans="1:2">
      <c r="A295" t="s">
        <v>830</v>
      </c>
      <c r="B295" s="323">
        <v>1</v>
      </c>
    </row>
    <row r="296" spans="1:2">
      <c r="A296" t="s">
        <v>831</v>
      </c>
      <c r="B296" s="323">
        <v>1</v>
      </c>
    </row>
    <row r="297" spans="1:2">
      <c r="A297" t="s">
        <v>832</v>
      </c>
      <c r="B297" s="323">
        <v>1</v>
      </c>
    </row>
    <row r="298" spans="1:2">
      <c r="A298" t="s">
        <v>833</v>
      </c>
      <c r="B298" s="323">
        <v>0</v>
      </c>
    </row>
    <row r="299" spans="1:2">
      <c r="A299" t="s">
        <v>834</v>
      </c>
      <c r="B299" s="323">
        <v>0</v>
      </c>
    </row>
    <row r="300" spans="1:2">
      <c r="A300" t="s">
        <v>835</v>
      </c>
      <c r="B300" s="323">
        <v>0</v>
      </c>
    </row>
    <row r="301" spans="1:2">
      <c r="A301" t="s">
        <v>836</v>
      </c>
      <c r="B301" s="323">
        <v>1</v>
      </c>
    </row>
    <row r="302" spans="1:2">
      <c r="A302" t="s">
        <v>837</v>
      </c>
      <c r="B302" s="323">
        <v>1</v>
      </c>
    </row>
    <row r="303" spans="1:2">
      <c r="A303" t="s">
        <v>838</v>
      </c>
      <c r="B303" s="323">
        <v>0</v>
      </c>
    </row>
    <row r="304" spans="1:2">
      <c r="A304" t="s">
        <v>839</v>
      </c>
      <c r="B304" s="323">
        <v>1</v>
      </c>
    </row>
    <row r="305" spans="1:2">
      <c r="A305" t="s">
        <v>840</v>
      </c>
      <c r="B305" s="323">
        <v>1</v>
      </c>
    </row>
    <row r="306" spans="1:2">
      <c r="A306" t="s">
        <v>841</v>
      </c>
      <c r="B306" s="323">
        <v>1</v>
      </c>
    </row>
    <row r="307" spans="1:2">
      <c r="A307" t="s">
        <v>842</v>
      </c>
      <c r="B307" s="323">
        <v>1</v>
      </c>
    </row>
    <row r="308" spans="1:2">
      <c r="A308" t="s">
        <v>843</v>
      </c>
      <c r="B308" s="323">
        <v>1</v>
      </c>
    </row>
    <row r="309" spans="1:2">
      <c r="A309" t="s">
        <v>844</v>
      </c>
      <c r="B309" s="323">
        <v>1</v>
      </c>
    </row>
    <row r="310" spans="1:2">
      <c r="A310" t="s">
        <v>845</v>
      </c>
      <c r="B310" s="323">
        <v>1</v>
      </c>
    </row>
    <row r="311" spans="1:2">
      <c r="A311" t="s">
        <v>846</v>
      </c>
      <c r="B311" s="323">
        <v>1</v>
      </c>
    </row>
    <row r="312" spans="1:2">
      <c r="A312" t="s">
        <v>847</v>
      </c>
      <c r="B312" s="323">
        <v>1</v>
      </c>
    </row>
    <row r="313" spans="1:2">
      <c r="A313" t="s">
        <v>848</v>
      </c>
      <c r="B313" s="323">
        <v>1</v>
      </c>
    </row>
    <row r="314" spans="1:2">
      <c r="A314" t="s">
        <v>849</v>
      </c>
      <c r="B314" s="323">
        <v>1</v>
      </c>
    </row>
    <row r="315" spans="1:2">
      <c r="A315" t="s">
        <v>850</v>
      </c>
      <c r="B315" s="323">
        <v>1</v>
      </c>
    </row>
    <row r="316" spans="1:2">
      <c r="A316" t="s">
        <v>851</v>
      </c>
      <c r="B316" s="323">
        <v>1</v>
      </c>
    </row>
    <row r="317" spans="1:2">
      <c r="A317" t="s">
        <v>852</v>
      </c>
      <c r="B317" s="323">
        <v>1</v>
      </c>
    </row>
    <row r="318" spans="1:2">
      <c r="A318" t="s">
        <v>853</v>
      </c>
      <c r="B318" s="323">
        <v>1</v>
      </c>
    </row>
    <row r="319" spans="1:2">
      <c r="A319" t="s">
        <v>854</v>
      </c>
      <c r="B319" s="323">
        <v>1</v>
      </c>
    </row>
    <row r="320" spans="1:2">
      <c r="A320" t="s">
        <v>855</v>
      </c>
      <c r="B320" s="323">
        <v>1</v>
      </c>
    </row>
    <row r="321" spans="1:2">
      <c r="A321" t="s">
        <v>856</v>
      </c>
      <c r="B321" s="323">
        <v>1</v>
      </c>
    </row>
    <row r="322" spans="1:2">
      <c r="A322" t="s">
        <v>857</v>
      </c>
      <c r="B322" s="323">
        <v>1</v>
      </c>
    </row>
    <row r="323" spans="1:2">
      <c r="A323" t="s">
        <v>858</v>
      </c>
      <c r="B323" s="323">
        <v>1</v>
      </c>
    </row>
    <row r="324" spans="1:2">
      <c r="A324" t="s">
        <v>859</v>
      </c>
      <c r="B324" s="323">
        <v>1</v>
      </c>
    </row>
    <row r="325" spans="1:2">
      <c r="A325" t="s">
        <v>860</v>
      </c>
      <c r="B325" s="323">
        <v>1</v>
      </c>
    </row>
    <row r="326" spans="1:2">
      <c r="A326" t="s">
        <v>861</v>
      </c>
      <c r="B326" s="323">
        <v>1</v>
      </c>
    </row>
    <row r="327" spans="1:2">
      <c r="A327" t="s">
        <v>862</v>
      </c>
      <c r="B327" s="323">
        <v>1</v>
      </c>
    </row>
    <row r="328" spans="1:2">
      <c r="A328" t="s">
        <v>863</v>
      </c>
      <c r="B328" s="323">
        <v>1</v>
      </c>
    </row>
    <row r="329" spans="1:2">
      <c r="A329" t="s">
        <v>864</v>
      </c>
      <c r="B329" s="323">
        <v>1</v>
      </c>
    </row>
    <row r="330" spans="1:2">
      <c r="A330" t="s">
        <v>865</v>
      </c>
      <c r="B330" s="323">
        <v>1</v>
      </c>
    </row>
    <row r="331" spans="1:2">
      <c r="A331" t="s">
        <v>866</v>
      </c>
      <c r="B331" s="323">
        <v>1</v>
      </c>
    </row>
    <row r="332" spans="1:2">
      <c r="A332" t="s">
        <v>867</v>
      </c>
      <c r="B332" s="323">
        <v>1</v>
      </c>
    </row>
    <row r="333" spans="1:2">
      <c r="A333" t="s">
        <v>868</v>
      </c>
      <c r="B333" s="323">
        <v>1</v>
      </c>
    </row>
    <row r="334" spans="1:2">
      <c r="A334" t="s">
        <v>869</v>
      </c>
      <c r="B334" s="323">
        <v>1</v>
      </c>
    </row>
    <row r="335" spans="1:2">
      <c r="A335" t="s">
        <v>870</v>
      </c>
      <c r="B335" s="323">
        <v>1</v>
      </c>
    </row>
    <row r="336" spans="1:2">
      <c r="A336" t="s">
        <v>871</v>
      </c>
      <c r="B336" s="323">
        <v>1</v>
      </c>
    </row>
    <row r="337" spans="1:2">
      <c r="A337" t="s">
        <v>872</v>
      </c>
      <c r="B337" s="323">
        <v>1</v>
      </c>
    </row>
    <row r="338" spans="1:2">
      <c r="A338" t="s">
        <v>873</v>
      </c>
      <c r="B338" s="323">
        <v>1</v>
      </c>
    </row>
    <row r="339" spans="1:2">
      <c r="A339" t="s">
        <v>874</v>
      </c>
      <c r="B339" s="323">
        <v>1</v>
      </c>
    </row>
    <row r="340" spans="1:2">
      <c r="A340" t="s">
        <v>875</v>
      </c>
      <c r="B340" s="323">
        <v>1</v>
      </c>
    </row>
    <row r="341" spans="1:2">
      <c r="A341" t="s">
        <v>876</v>
      </c>
      <c r="B341" s="323">
        <v>0</v>
      </c>
    </row>
    <row r="342" spans="1:2">
      <c r="A342" t="s">
        <v>877</v>
      </c>
      <c r="B342" s="323">
        <v>0</v>
      </c>
    </row>
    <row r="343" spans="1:2">
      <c r="A343" t="s">
        <v>878</v>
      </c>
      <c r="B343" s="323">
        <v>0</v>
      </c>
    </row>
    <row r="344" spans="1:2">
      <c r="A344" t="s">
        <v>879</v>
      </c>
      <c r="B344" s="323">
        <v>1</v>
      </c>
    </row>
    <row r="345" spans="1:2">
      <c r="A345" t="s">
        <v>880</v>
      </c>
      <c r="B345" s="323">
        <v>1</v>
      </c>
    </row>
    <row r="346" spans="1:2">
      <c r="A346" t="s">
        <v>881</v>
      </c>
      <c r="B346" s="323">
        <v>1</v>
      </c>
    </row>
    <row r="347" spans="1:2">
      <c r="A347" t="s">
        <v>882</v>
      </c>
      <c r="B347" s="323">
        <v>1</v>
      </c>
    </row>
    <row r="348" spans="1:2">
      <c r="A348" t="s">
        <v>883</v>
      </c>
      <c r="B348" s="323">
        <v>1</v>
      </c>
    </row>
    <row r="349" spans="1:2">
      <c r="A349" t="s">
        <v>884</v>
      </c>
      <c r="B349" s="323">
        <v>1</v>
      </c>
    </row>
    <row r="350" spans="1:2">
      <c r="A350" t="s">
        <v>885</v>
      </c>
      <c r="B350" s="323">
        <v>1</v>
      </c>
    </row>
    <row r="351" spans="1:2">
      <c r="A351" t="s">
        <v>886</v>
      </c>
      <c r="B351" s="323">
        <v>1</v>
      </c>
    </row>
    <row r="352" spans="1:2">
      <c r="A352" t="s">
        <v>887</v>
      </c>
      <c r="B352" s="323">
        <v>1</v>
      </c>
    </row>
    <row r="353" spans="1:2">
      <c r="A353" t="s">
        <v>888</v>
      </c>
      <c r="B353" s="323">
        <v>1</v>
      </c>
    </row>
    <row r="354" spans="1:2">
      <c r="A354" t="s">
        <v>889</v>
      </c>
      <c r="B354" s="323">
        <v>1</v>
      </c>
    </row>
    <row r="355" spans="1:2">
      <c r="A355" t="s">
        <v>890</v>
      </c>
      <c r="B355" s="323">
        <v>1</v>
      </c>
    </row>
    <row r="356" spans="1:2">
      <c r="A356" t="s">
        <v>891</v>
      </c>
      <c r="B356" s="323">
        <v>1</v>
      </c>
    </row>
    <row r="357" spans="1:2">
      <c r="A357" t="s">
        <v>892</v>
      </c>
      <c r="B357" s="323">
        <v>1</v>
      </c>
    </row>
    <row r="358" spans="1:2">
      <c r="A358" t="s">
        <v>893</v>
      </c>
      <c r="B358" s="323">
        <v>1</v>
      </c>
    </row>
    <row r="359" spans="1:2">
      <c r="A359" t="s">
        <v>894</v>
      </c>
      <c r="B359" s="323">
        <v>1</v>
      </c>
    </row>
    <row r="360" spans="1:2">
      <c r="A360" t="s">
        <v>895</v>
      </c>
      <c r="B360" s="323">
        <v>1</v>
      </c>
    </row>
    <row r="361" spans="1:2">
      <c r="A361" t="s">
        <v>896</v>
      </c>
      <c r="B361" s="323">
        <v>1</v>
      </c>
    </row>
    <row r="362" spans="1:2">
      <c r="A362" t="s">
        <v>897</v>
      </c>
      <c r="B362" s="323">
        <v>1</v>
      </c>
    </row>
    <row r="363" spans="1:2">
      <c r="A363" t="s">
        <v>898</v>
      </c>
      <c r="B363" s="323">
        <v>1</v>
      </c>
    </row>
    <row r="364" spans="1:2">
      <c r="A364" t="s">
        <v>899</v>
      </c>
      <c r="B364" s="323">
        <v>1</v>
      </c>
    </row>
    <row r="365" spans="1:2">
      <c r="A365" t="s">
        <v>900</v>
      </c>
      <c r="B365" s="323">
        <v>1</v>
      </c>
    </row>
    <row r="366" spans="1:2">
      <c r="A366" t="s">
        <v>901</v>
      </c>
      <c r="B366" s="323">
        <v>1</v>
      </c>
    </row>
    <row r="367" spans="1:2">
      <c r="A367" t="s">
        <v>902</v>
      </c>
      <c r="B367" s="323">
        <v>1</v>
      </c>
    </row>
    <row r="368" spans="1:2">
      <c r="A368" t="s">
        <v>903</v>
      </c>
      <c r="B368" s="323">
        <v>1</v>
      </c>
    </row>
    <row r="369" spans="1:2">
      <c r="A369" t="s">
        <v>904</v>
      </c>
      <c r="B369" s="323">
        <v>1</v>
      </c>
    </row>
    <row r="370" spans="1:2">
      <c r="A370" t="s">
        <v>905</v>
      </c>
      <c r="B370" s="323">
        <v>1</v>
      </c>
    </row>
    <row r="371" spans="1:2">
      <c r="A371" t="s">
        <v>906</v>
      </c>
      <c r="B371" s="323">
        <v>1</v>
      </c>
    </row>
    <row r="372" spans="1:2">
      <c r="A372" t="s">
        <v>907</v>
      </c>
      <c r="B372" s="323">
        <v>1</v>
      </c>
    </row>
    <row r="373" spans="1:2">
      <c r="A373" t="s">
        <v>908</v>
      </c>
      <c r="B373" s="323">
        <v>1</v>
      </c>
    </row>
    <row r="374" spans="1:2">
      <c r="A374" t="s">
        <v>909</v>
      </c>
      <c r="B374" s="323">
        <v>1</v>
      </c>
    </row>
    <row r="375" spans="1:2">
      <c r="A375" t="s">
        <v>910</v>
      </c>
      <c r="B375" s="323">
        <v>1</v>
      </c>
    </row>
    <row r="376" spans="1:2">
      <c r="A376" t="s">
        <v>911</v>
      </c>
      <c r="B376" s="323">
        <v>1</v>
      </c>
    </row>
    <row r="377" spans="1:2">
      <c r="A377" t="s">
        <v>912</v>
      </c>
      <c r="B377" s="323">
        <v>1</v>
      </c>
    </row>
    <row r="378" spans="1:2">
      <c r="A378" t="s">
        <v>913</v>
      </c>
      <c r="B378" s="323">
        <v>1</v>
      </c>
    </row>
    <row r="379" spans="1:2">
      <c r="A379" t="s">
        <v>914</v>
      </c>
      <c r="B379" s="323">
        <v>1</v>
      </c>
    </row>
    <row r="380" spans="1:2">
      <c r="A380" t="s">
        <v>915</v>
      </c>
      <c r="B380" s="323">
        <v>1</v>
      </c>
    </row>
    <row r="381" spans="1:2">
      <c r="A381" t="s">
        <v>916</v>
      </c>
      <c r="B381" s="323">
        <v>1</v>
      </c>
    </row>
    <row r="382" spans="1:2">
      <c r="A382" t="s">
        <v>917</v>
      </c>
      <c r="B382" s="323">
        <v>1</v>
      </c>
    </row>
    <row r="383" spans="1:2">
      <c r="A383" t="s">
        <v>918</v>
      </c>
      <c r="B383" s="323">
        <v>1</v>
      </c>
    </row>
    <row r="384" spans="1:2">
      <c r="A384" t="s">
        <v>919</v>
      </c>
      <c r="B384" s="323">
        <v>1</v>
      </c>
    </row>
    <row r="385" spans="1:2">
      <c r="A385" t="s">
        <v>920</v>
      </c>
      <c r="B385" s="323">
        <v>1</v>
      </c>
    </row>
    <row r="386" spans="1:2">
      <c r="A386" t="s">
        <v>921</v>
      </c>
      <c r="B386" s="323">
        <v>1</v>
      </c>
    </row>
    <row r="387" spans="1:2">
      <c r="A387" t="s">
        <v>922</v>
      </c>
      <c r="B387" s="323">
        <v>1</v>
      </c>
    </row>
    <row r="388" spans="1:2">
      <c r="A388" t="s">
        <v>923</v>
      </c>
      <c r="B388" s="323">
        <v>1</v>
      </c>
    </row>
    <row r="389" spans="1:2">
      <c r="A389" t="s">
        <v>924</v>
      </c>
      <c r="B389" s="323">
        <v>1</v>
      </c>
    </row>
    <row r="390" spans="1:2">
      <c r="A390" t="s">
        <v>925</v>
      </c>
      <c r="B390" s="323">
        <v>1</v>
      </c>
    </row>
    <row r="391" spans="1:2">
      <c r="A391" t="s">
        <v>926</v>
      </c>
      <c r="B391" s="323">
        <v>1</v>
      </c>
    </row>
    <row r="392" spans="1:2">
      <c r="A392" t="s">
        <v>2127</v>
      </c>
      <c r="B392" s="323">
        <v>1</v>
      </c>
    </row>
    <row r="393" spans="1:2">
      <c r="A393" t="s">
        <v>2128</v>
      </c>
      <c r="B393" s="323">
        <v>1</v>
      </c>
    </row>
    <row r="394" spans="1:2">
      <c r="A394" t="s">
        <v>2129</v>
      </c>
      <c r="B394" s="323">
        <v>1</v>
      </c>
    </row>
    <row r="395" spans="1:2">
      <c r="A395" t="s">
        <v>2130</v>
      </c>
      <c r="B395" s="323">
        <v>1</v>
      </c>
    </row>
    <row r="396" spans="1:2">
      <c r="A396" t="s">
        <v>2131</v>
      </c>
      <c r="B396" s="323">
        <v>1</v>
      </c>
    </row>
    <row r="397" spans="1:2">
      <c r="A397" t="s">
        <v>2136</v>
      </c>
      <c r="B397" s="323">
        <v>1</v>
      </c>
    </row>
    <row r="398" spans="1:2">
      <c r="A398" t="s">
        <v>2132</v>
      </c>
      <c r="B398" s="323">
        <v>1</v>
      </c>
    </row>
    <row r="399" spans="1:2">
      <c r="A399" t="s">
        <v>2133</v>
      </c>
      <c r="B399" s="323">
        <v>1</v>
      </c>
    </row>
    <row r="400" spans="1:2">
      <c r="A400" t="s">
        <v>2134</v>
      </c>
      <c r="B400" s="323">
        <v>1</v>
      </c>
    </row>
    <row r="401" spans="1:2">
      <c r="A401" t="s">
        <v>2220</v>
      </c>
      <c r="B401" s="323">
        <v>8</v>
      </c>
    </row>
    <row r="402" spans="1:2">
      <c r="A402" t="s">
        <v>2221</v>
      </c>
      <c r="B402" s="323">
        <v>8</v>
      </c>
    </row>
    <row r="403" spans="1:2">
      <c r="A403" t="s">
        <v>2222</v>
      </c>
      <c r="B403" s="323">
        <v>8</v>
      </c>
    </row>
    <row r="404" spans="1:2">
      <c r="A404" t="s">
        <v>2223</v>
      </c>
      <c r="B404" s="323">
        <v>8</v>
      </c>
    </row>
    <row r="405" spans="1:2">
      <c r="A405" t="s">
        <v>2224</v>
      </c>
      <c r="B405" s="323">
        <v>8</v>
      </c>
    </row>
    <row r="406" spans="1:2">
      <c r="A406" t="s">
        <v>927</v>
      </c>
      <c r="B406" s="323">
        <v>1</v>
      </c>
    </row>
    <row r="407" spans="1:2">
      <c r="A407" t="s">
        <v>928</v>
      </c>
      <c r="B407" s="323">
        <v>1</v>
      </c>
    </row>
    <row r="408" spans="1:2">
      <c r="A408" t="s">
        <v>929</v>
      </c>
      <c r="B408" s="323">
        <v>1</v>
      </c>
    </row>
    <row r="409" spans="1:2">
      <c r="A409" t="s">
        <v>930</v>
      </c>
      <c r="B409" s="323">
        <v>1</v>
      </c>
    </row>
    <row r="410" spans="1:2">
      <c r="A410" t="s">
        <v>931</v>
      </c>
      <c r="B410" s="323">
        <v>1</v>
      </c>
    </row>
    <row r="411" spans="1:2">
      <c r="A411" t="s">
        <v>932</v>
      </c>
      <c r="B411" s="323">
        <v>1</v>
      </c>
    </row>
    <row r="412" spans="1:2">
      <c r="A412" t="s">
        <v>933</v>
      </c>
      <c r="B412" s="323">
        <v>1</v>
      </c>
    </row>
    <row r="413" spans="1:2">
      <c r="A413" t="s">
        <v>934</v>
      </c>
      <c r="B413" s="323">
        <v>1</v>
      </c>
    </row>
    <row r="414" spans="1:2">
      <c r="A414" t="s">
        <v>935</v>
      </c>
      <c r="B414" s="323">
        <v>1</v>
      </c>
    </row>
    <row r="415" spans="1:2">
      <c r="A415" t="s">
        <v>936</v>
      </c>
      <c r="B415" s="323">
        <v>1</v>
      </c>
    </row>
    <row r="416" spans="1:2">
      <c r="A416" t="s">
        <v>937</v>
      </c>
      <c r="B416" s="323">
        <v>1</v>
      </c>
    </row>
    <row r="417" spans="1:2">
      <c r="A417" t="s">
        <v>938</v>
      </c>
      <c r="B417" s="323">
        <v>3</v>
      </c>
    </row>
    <row r="418" spans="1:2">
      <c r="A418" t="s">
        <v>939</v>
      </c>
      <c r="B418" s="323">
        <v>3</v>
      </c>
    </row>
    <row r="419" spans="1:2">
      <c r="A419" t="s">
        <v>940</v>
      </c>
      <c r="B419" s="323">
        <v>1</v>
      </c>
    </row>
    <row r="420" spans="1:2">
      <c r="A420" t="s">
        <v>941</v>
      </c>
      <c r="B420" s="323">
        <v>1</v>
      </c>
    </row>
    <row r="421" spans="1:2">
      <c r="A421" t="s">
        <v>942</v>
      </c>
      <c r="B421" s="323">
        <v>1</v>
      </c>
    </row>
    <row r="422" spans="1:2">
      <c r="A422" t="s">
        <v>943</v>
      </c>
      <c r="B422" s="323">
        <v>1</v>
      </c>
    </row>
    <row r="423" spans="1:2">
      <c r="A423" t="s">
        <v>944</v>
      </c>
      <c r="B423" s="323">
        <v>1</v>
      </c>
    </row>
    <row r="424" spans="1:2">
      <c r="A424" t="s">
        <v>945</v>
      </c>
      <c r="B424" s="323">
        <v>1</v>
      </c>
    </row>
    <row r="425" spans="1:2">
      <c r="A425" t="s">
        <v>946</v>
      </c>
      <c r="B425" s="323">
        <v>1</v>
      </c>
    </row>
    <row r="426" spans="1:2">
      <c r="A426" t="s">
        <v>947</v>
      </c>
      <c r="B426" s="323">
        <v>1</v>
      </c>
    </row>
    <row r="427" spans="1:2">
      <c r="A427" t="s">
        <v>948</v>
      </c>
      <c r="B427" s="323">
        <v>1</v>
      </c>
    </row>
    <row r="428" spans="1:2">
      <c r="A428" t="s">
        <v>949</v>
      </c>
      <c r="B428" s="323">
        <v>1</v>
      </c>
    </row>
    <row r="429" spans="1:2">
      <c r="A429" t="s">
        <v>950</v>
      </c>
      <c r="B429" s="323">
        <v>1</v>
      </c>
    </row>
    <row r="430" spans="1:2">
      <c r="A430" t="s">
        <v>951</v>
      </c>
      <c r="B430" s="323">
        <v>1</v>
      </c>
    </row>
    <row r="431" spans="1:2">
      <c r="A431" t="s">
        <v>952</v>
      </c>
      <c r="B431" s="323">
        <v>1</v>
      </c>
    </row>
    <row r="432" spans="1:2">
      <c r="A432" t="s">
        <v>2198</v>
      </c>
      <c r="B432" s="323">
        <v>1</v>
      </c>
    </row>
    <row r="433" spans="1:2">
      <c r="A433" t="s">
        <v>2199</v>
      </c>
      <c r="B433" s="323">
        <v>1</v>
      </c>
    </row>
    <row r="434" spans="1:2">
      <c r="A434" t="s">
        <v>2200</v>
      </c>
      <c r="B434" s="323">
        <v>1</v>
      </c>
    </row>
    <row r="435" spans="1:2">
      <c r="A435" t="s">
        <v>2201</v>
      </c>
      <c r="B435" s="323">
        <v>1</v>
      </c>
    </row>
    <row r="436" spans="1:2">
      <c r="A436" t="s">
        <v>953</v>
      </c>
      <c r="B436" s="323">
        <v>1</v>
      </c>
    </row>
    <row r="437" spans="1:2">
      <c r="A437" t="s">
        <v>954</v>
      </c>
      <c r="B437" s="323">
        <v>1</v>
      </c>
    </row>
    <row r="438" spans="1:2">
      <c r="A438" t="s">
        <v>955</v>
      </c>
      <c r="B438" s="323">
        <v>1</v>
      </c>
    </row>
    <row r="439" spans="1:2">
      <c r="A439" t="s">
        <v>956</v>
      </c>
      <c r="B439" s="323">
        <v>1</v>
      </c>
    </row>
    <row r="440" spans="1:2">
      <c r="A440" t="s">
        <v>957</v>
      </c>
      <c r="B440" s="323">
        <v>1</v>
      </c>
    </row>
    <row r="441" spans="1:2">
      <c r="A441" t="s">
        <v>958</v>
      </c>
      <c r="B441" s="323">
        <v>1</v>
      </c>
    </row>
    <row r="442" spans="1:2">
      <c r="A442" t="s">
        <v>959</v>
      </c>
      <c r="B442" s="323">
        <v>1</v>
      </c>
    </row>
    <row r="443" spans="1:2">
      <c r="A443" t="s">
        <v>960</v>
      </c>
      <c r="B443" s="323">
        <v>1</v>
      </c>
    </row>
    <row r="444" spans="1:2">
      <c r="A444" t="s">
        <v>961</v>
      </c>
      <c r="B444" s="323">
        <v>1</v>
      </c>
    </row>
    <row r="445" spans="1:2">
      <c r="A445" t="s">
        <v>962</v>
      </c>
      <c r="B445" s="323">
        <v>1</v>
      </c>
    </row>
    <row r="446" spans="1:2">
      <c r="A446" t="s">
        <v>963</v>
      </c>
      <c r="B446" s="323">
        <v>1</v>
      </c>
    </row>
    <row r="447" spans="1:2">
      <c r="A447" t="s">
        <v>964</v>
      </c>
      <c r="B447" s="323">
        <v>1</v>
      </c>
    </row>
    <row r="448" spans="1:2">
      <c r="A448" t="s">
        <v>965</v>
      </c>
      <c r="B448" s="323">
        <v>1</v>
      </c>
    </row>
    <row r="449" spans="1:2">
      <c r="A449" t="s">
        <v>966</v>
      </c>
      <c r="B449" s="323">
        <v>1</v>
      </c>
    </row>
    <row r="450" spans="1:2">
      <c r="A450" t="s">
        <v>2202</v>
      </c>
      <c r="B450" s="323">
        <v>1</v>
      </c>
    </row>
    <row r="451" spans="1:2">
      <c r="A451" t="s">
        <v>2203</v>
      </c>
      <c r="B451" s="323">
        <v>1</v>
      </c>
    </row>
    <row r="452" spans="1:2">
      <c r="A452" t="s">
        <v>2204</v>
      </c>
      <c r="B452" s="323">
        <v>1</v>
      </c>
    </row>
    <row r="453" spans="1:2">
      <c r="A453" t="s">
        <v>2205</v>
      </c>
      <c r="B453" s="323">
        <v>1</v>
      </c>
    </row>
    <row r="454" spans="1:2">
      <c r="A454" t="s">
        <v>2206</v>
      </c>
      <c r="B454" s="323">
        <v>1</v>
      </c>
    </row>
    <row r="455" spans="1:2">
      <c r="A455" t="s">
        <v>2207</v>
      </c>
      <c r="B455" s="323">
        <v>1</v>
      </c>
    </row>
    <row r="456" spans="1:2">
      <c r="A456" t="s">
        <v>967</v>
      </c>
      <c r="B456" s="323">
        <v>3</v>
      </c>
    </row>
    <row r="457" spans="1:2">
      <c r="A457" t="s">
        <v>968</v>
      </c>
      <c r="B457" s="323">
        <v>1</v>
      </c>
    </row>
    <row r="458" spans="1:2">
      <c r="A458" t="s">
        <v>969</v>
      </c>
      <c r="B458" s="323">
        <v>1</v>
      </c>
    </row>
    <row r="459" spans="1:2">
      <c r="A459" t="s">
        <v>970</v>
      </c>
      <c r="B459" s="323">
        <v>3</v>
      </c>
    </row>
    <row r="460" spans="1:2">
      <c r="A460" t="s">
        <v>971</v>
      </c>
      <c r="B460" s="323">
        <v>3</v>
      </c>
    </row>
    <row r="461" spans="1:2">
      <c r="A461" t="s">
        <v>972</v>
      </c>
      <c r="B461" s="323">
        <v>1</v>
      </c>
    </row>
    <row r="462" spans="1:2">
      <c r="A462" t="s">
        <v>973</v>
      </c>
      <c r="B462" s="323">
        <v>1</v>
      </c>
    </row>
    <row r="463" spans="1:2">
      <c r="A463" t="s">
        <v>974</v>
      </c>
      <c r="B463" s="323">
        <v>1</v>
      </c>
    </row>
    <row r="464" spans="1:2">
      <c r="A464" t="s">
        <v>975</v>
      </c>
      <c r="B464" s="323">
        <v>1</v>
      </c>
    </row>
    <row r="465" spans="1:2">
      <c r="A465" t="s">
        <v>976</v>
      </c>
      <c r="B465" s="323">
        <v>3</v>
      </c>
    </row>
    <row r="466" spans="1:2">
      <c r="A466" t="s">
        <v>977</v>
      </c>
      <c r="B466" s="323">
        <v>3</v>
      </c>
    </row>
    <row r="467" spans="1:2">
      <c r="A467" t="s">
        <v>978</v>
      </c>
      <c r="B467" s="323">
        <v>4</v>
      </c>
    </row>
    <row r="468" spans="1:2">
      <c r="A468" t="s">
        <v>979</v>
      </c>
      <c r="B468" s="323">
        <v>4</v>
      </c>
    </row>
    <row r="469" spans="1:2">
      <c r="A469" t="s">
        <v>980</v>
      </c>
      <c r="B469" s="323">
        <v>4</v>
      </c>
    </row>
    <row r="470" spans="1:2">
      <c r="A470" t="s">
        <v>2208</v>
      </c>
      <c r="B470" s="323">
        <v>1</v>
      </c>
    </row>
    <row r="471" spans="1:2">
      <c r="A471" t="s">
        <v>2209</v>
      </c>
      <c r="B471" s="323">
        <v>1</v>
      </c>
    </row>
    <row r="472" spans="1:2">
      <c r="A472" t="s">
        <v>2210</v>
      </c>
      <c r="B472" s="323">
        <v>1</v>
      </c>
    </row>
    <row r="473" spans="1:2">
      <c r="A473" t="s">
        <v>2211</v>
      </c>
      <c r="B473" s="323">
        <v>1</v>
      </c>
    </row>
    <row r="474" spans="1:2">
      <c r="A474" t="s">
        <v>981</v>
      </c>
      <c r="B474" s="323">
        <v>1</v>
      </c>
    </row>
    <row r="475" spans="1:2">
      <c r="A475" t="s">
        <v>982</v>
      </c>
      <c r="B475" s="323">
        <v>4</v>
      </c>
    </row>
    <row r="476" spans="1:2">
      <c r="A476" t="s">
        <v>983</v>
      </c>
      <c r="B476" s="323">
        <v>4</v>
      </c>
    </row>
    <row r="477" spans="1:2">
      <c r="A477" t="s">
        <v>984</v>
      </c>
      <c r="B477" s="323">
        <v>4</v>
      </c>
    </row>
    <row r="478" spans="1:2">
      <c r="A478" t="s">
        <v>2212</v>
      </c>
      <c r="B478" s="323">
        <v>1</v>
      </c>
    </row>
    <row r="479" spans="1:2">
      <c r="A479" t="s">
        <v>2213</v>
      </c>
      <c r="B479" s="323">
        <v>1</v>
      </c>
    </row>
    <row r="480" spans="1:2">
      <c r="A480" t="s">
        <v>2214</v>
      </c>
      <c r="B480" s="323">
        <v>1</v>
      </c>
    </row>
    <row r="481" spans="1:2">
      <c r="A481" t="s">
        <v>2215</v>
      </c>
      <c r="B481" s="323">
        <v>1</v>
      </c>
    </row>
    <row r="482" spans="1:2">
      <c r="A482" t="s">
        <v>2216</v>
      </c>
      <c r="B482" s="323">
        <v>1</v>
      </c>
    </row>
    <row r="483" spans="1:2">
      <c r="A483" t="s">
        <v>2217</v>
      </c>
      <c r="B483" s="323">
        <v>1</v>
      </c>
    </row>
    <row r="484" spans="1:2">
      <c r="A484" t="s">
        <v>985</v>
      </c>
      <c r="B484" s="323">
        <v>1</v>
      </c>
    </row>
    <row r="485" spans="1:2">
      <c r="A485" t="s">
        <v>986</v>
      </c>
      <c r="B485" s="323">
        <v>1</v>
      </c>
    </row>
    <row r="486" spans="1:2">
      <c r="A486" t="s">
        <v>987</v>
      </c>
      <c r="B486" s="323">
        <v>1</v>
      </c>
    </row>
    <row r="487" spans="1:2">
      <c r="A487" t="s">
        <v>988</v>
      </c>
      <c r="B487" s="323">
        <v>1</v>
      </c>
    </row>
    <row r="488" spans="1:2">
      <c r="A488" t="s">
        <v>989</v>
      </c>
      <c r="B488" s="323">
        <v>1</v>
      </c>
    </row>
    <row r="489" spans="1:2">
      <c r="A489" t="s">
        <v>990</v>
      </c>
      <c r="B489" s="323">
        <v>1</v>
      </c>
    </row>
    <row r="490" spans="1:2">
      <c r="A490" t="s">
        <v>991</v>
      </c>
      <c r="B490" s="323">
        <v>1</v>
      </c>
    </row>
    <row r="491" spans="1:2">
      <c r="A491" t="s">
        <v>992</v>
      </c>
      <c r="B491" s="323">
        <v>1</v>
      </c>
    </row>
    <row r="492" spans="1:2">
      <c r="A492" t="s">
        <v>993</v>
      </c>
      <c r="B492" s="323">
        <v>1</v>
      </c>
    </row>
    <row r="493" spans="1:2">
      <c r="A493" t="s">
        <v>994</v>
      </c>
      <c r="B493" s="323">
        <v>1</v>
      </c>
    </row>
    <row r="494" spans="1:2">
      <c r="A494" t="s">
        <v>995</v>
      </c>
      <c r="B494" s="323">
        <v>1</v>
      </c>
    </row>
    <row r="495" spans="1:2">
      <c r="A495" t="s">
        <v>996</v>
      </c>
      <c r="B495" s="323">
        <v>1</v>
      </c>
    </row>
    <row r="496" spans="1:2">
      <c r="A496" t="s">
        <v>997</v>
      </c>
      <c r="B496" s="323">
        <v>1</v>
      </c>
    </row>
    <row r="497" spans="1:2">
      <c r="A497" t="s">
        <v>998</v>
      </c>
      <c r="B497" s="323">
        <v>1</v>
      </c>
    </row>
    <row r="498" spans="1:2">
      <c r="A498" t="s">
        <v>999</v>
      </c>
      <c r="B498" s="323">
        <v>1</v>
      </c>
    </row>
    <row r="499" spans="1:2">
      <c r="A499" t="s">
        <v>1000</v>
      </c>
      <c r="B499" s="323">
        <v>1</v>
      </c>
    </row>
    <row r="500" spans="1:2">
      <c r="A500" t="s">
        <v>1001</v>
      </c>
      <c r="B500" s="323">
        <v>1</v>
      </c>
    </row>
    <row r="501" spans="1:2">
      <c r="A501" t="s">
        <v>2138</v>
      </c>
      <c r="B501" s="323">
        <v>5</v>
      </c>
    </row>
    <row r="502" spans="1:2">
      <c r="A502" t="s">
        <v>2139</v>
      </c>
      <c r="B502" s="323">
        <v>5</v>
      </c>
    </row>
    <row r="503" spans="1:2">
      <c r="A503" t="s">
        <v>2140</v>
      </c>
      <c r="B503" s="323">
        <v>5</v>
      </c>
    </row>
    <row r="504" spans="1:2">
      <c r="A504" t="s">
        <v>2141</v>
      </c>
      <c r="B504" s="323">
        <v>5</v>
      </c>
    </row>
    <row r="505" spans="1:2">
      <c r="A505" t="s">
        <v>2142</v>
      </c>
      <c r="B505" s="323">
        <v>5</v>
      </c>
    </row>
    <row r="506" spans="1:2">
      <c r="A506" t="s">
        <v>2143</v>
      </c>
      <c r="B506" s="323">
        <v>5</v>
      </c>
    </row>
    <row r="507" spans="1:2">
      <c r="A507" t="s">
        <v>2144</v>
      </c>
      <c r="B507" s="323">
        <v>5</v>
      </c>
    </row>
    <row r="508" spans="1:2">
      <c r="A508" t="s">
        <v>2145</v>
      </c>
      <c r="B508" s="323">
        <v>5</v>
      </c>
    </row>
    <row r="509" spans="1:2">
      <c r="A509" t="s">
        <v>2146</v>
      </c>
      <c r="B509" s="323">
        <v>5</v>
      </c>
    </row>
    <row r="510" spans="1:2">
      <c r="A510" t="s">
        <v>2147</v>
      </c>
      <c r="B510" s="323">
        <v>5</v>
      </c>
    </row>
    <row r="511" spans="1:2">
      <c r="A511" t="s">
        <v>2148</v>
      </c>
      <c r="B511" s="323">
        <v>5</v>
      </c>
    </row>
    <row r="512" spans="1:2">
      <c r="A512" t="s">
        <v>2149</v>
      </c>
      <c r="B512" s="323">
        <v>5</v>
      </c>
    </row>
    <row r="513" spans="1:2">
      <c r="A513" t="s">
        <v>2150</v>
      </c>
      <c r="B513" s="323">
        <v>0</v>
      </c>
    </row>
    <row r="514" spans="1:2">
      <c r="A514" t="s">
        <v>2151</v>
      </c>
      <c r="B514" s="323">
        <v>1</v>
      </c>
    </row>
    <row r="515" spans="1:2">
      <c r="A515" t="s">
        <v>2152</v>
      </c>
      <c r="B515" s="323">
        <v>5</v>
      </c>
    </row>
    <row r="516" spans="1:2">
      <c r="A516" t="s">
        <v>2153</v>
      </c>
      <c r="B516" s="323">
        <v>5</v>
      </c>
    </row>
    <row r="517" spans="1:2">
      <c r="A517" t="s">
        <v>2155</v>
      </c>
      <c r="B517" s="323">
        <v>5</v>
      </c>
    </row>
    <row r="518" spans="1:2">
      <c r="A518" t="s">
        <v>2156</v>
      </c>
      <c r="B518" s="323">
        <v>5</v>
      </c>
    </row>
    <row r="519" spans="1:2">
      <c r="A519" t="s">
        <v>2157</v>
      </c>
      <c r="B519" s="323">
        <v>5</v>
      </c>
    </row>
    <row r="520" spans="1:2">
      <c r="A520" t="s">
        <v>2158</v>
      </c>
      <c r="B520" s="323">
        <v>5</v>
      </c>
    </row>
    <row r="521" spans="1:2">
      <c r="A521" t="s">
        <v>2159</v>
      </c>
      <c r="B521" s="323">
        <v>5</v>
      </c>
    </row>
    <row r="522" spans="1:2">
      <c r="A522" t="s">
        <v>2160</v>
      </c>
      <c r="B522" s="323">
        <v>5</v>
      </c>
    </row>
    <row r="523" spans="1:2">
      <c r="A523" t="s">
        <v>2161</v>
      </c>
      <c r="B523" s="323">
        <v>5</v>
      </c>
    </row>
    <row r="524" spans="1:2">
      <c r="A524" t="s">
        <v>2162</v>
      </c>
      <c r="B524" s="323">
        <v>5</v>
      </c>
    </row>
    <row r="525" spans="1:2">
      <c r="A525" t="s">
        <v>2163</v>
      </c>
      <c r="B525" s="323">
        <v>5</v>
      </c>
    </row>
    <row r="526" spans="1:2">
      <c r="A526" t="s">
        <v>2164</v>
      </c>
      <c r="B526" s="323">
        <v>5</v>
      </c>
    </row>
    <row r="527" spans="1:2">
      <c r="A527" t="s">
        <v>2165</v>
      </c>
      <c r="B527" s="323">
        <v>5</v>
      </c>
    </row>
    <row r="528" spans="1:2">
      <c r="A528" t="s">
        <v>2166</v>
      </c>
      <c r="B528" s="323">
        <v>5</v>
      </c>
    </row>
    <row r="529" spans="1:2">
      <c r="A529" t="s">
        <v>2167</v>
      </c>
      <c r="B529" s="323">
        <v>5</v>
      </c>
    </row>
    <row r="530" spans="1:2">
      <c r="A530" t="s">
        <v>2168</v>
      </c>
      <c r="B530" s="323">
        <v>5</v>
      </c>
    </row>
    <row r="531" spans="1:2">
      <c r="A531" t="s">
        <v>2169</v>
      </c>
      <c r="B531" s="323">
        <v>5</v>
      </c>
    </row>
    <row r="532" spans="1:2">
      <c r="A532" t="s">
        <v>2170</v>
      </c>
      <c r="B532" s="323">
        <v>5</v>
      </c>
    </row>
    <row r="533" spans="1:2">
      <c r="A533" t="s">
        <v>2171</v>
      </c>
      <c r="B533" s="323">
        <v>5</v>
      </c>
    </row>
    <row r="534" spans="1:2">
      <c r="A534" t="s">
        <v>2172</v>
      </c>
      <c r="B534" s="323">
        <v>5</v>
      </c>
    </row>
    <row r="535" spans="1:2">
      <c r="A535" t="s">
        <v>2173</v>
      </c>
      <c r="B535" s="323">
        <v>5</v>
      </c>
    </row>
    <row r="536" spans="1:2">
      <c r="A536" t="s">
        <v>2174</v>
      </c>
      <c r="B536" s="323">
        <v>5</v>
      </c>
    </row>
    <row r="537" spans="1:2">
      <c r="A537" t="s">
        <v>2175</v>
      </c>
      <c r="B537" s="323">
        <v>5</v>
      </c>
    </row>
    <row r="538" spans="1:2">
      <c r="A538" t="s">
        <v>2176</v>
      </c>
      <c r="B538" s="323">
        <v>5</v>
      </c>
    </row>
    <row r="539" spans="1:2">
      <c r="A539" t="s">
        <v>2177</v>
      </c>
      <c r="B539" s="323">
        <v>5</v>
      </c>
    </row>
    <row r="540" spans="1:2">
      <c r="A540" t="s">
        <v>2178</v>
      </c>
      <c r="B540" s="323">
        <v>5</v>
      </c>
    </row>
    <row r="541" spans="1:2">
      <c r="A541" t="s">
        <v>2179</v>
      </c>
      <c r="B541" s="323">
        <v>5</v>
      </c>
    </row>
    <row r="542" spans="1:2">
      <c r="A542" t="s">
        <v>2180</v>
      </c>
      <c r="B542" s="323">
        <v>5</v>
      </c>
    </row>
    <row r="543" spans="1:2">
      <c r="A543" t="s">
        <v>2181</v>
      </c>
      <c r="B543" s="323">
        <v>5</v>
      </c>
    </row>
    <row r="544" spans="1:2">
      <c r="A544" t="s">
        <v>2182</v>
      </c>
      <c r="B544" s="323">
        <v>5</v>
      </c>
    </row>
    <row r="545" spans="1:2">
      <c r="A545" t="s">
        <v>2183</v>
      </c>
      <c r="B545" s="323">
        <v>5</v>
      </c>
    </row>
    <row r="546" spans="1:2">
      <c r="A546" t="s">
        <v>2184</v>
      </c>
      <c r="B546" s="323">
        <v>5</v>
      </c>
    </row>
    <row r="547" spans="1:2">
      <c r="A547" t="s">
        <v>2185</v>
      </c>
      <c r="B547" s="323">
        <v>5</v>
      </c>
    </row>
    <row r="548" spans="1:2">
      <c r="A548" t="s">
        <v>2186</v>
      </c>
      <c r="B548" s="323">
        <v>5</v>
      </c>
    </row>
    <row r="549" spans="1:2">
      <c r="A549" t="s">
        <v>2187</v>
      </c>
      <c r="B549" s="323">
        <v>5</v>
      </c>
    </row>
    <row r="550" spans="1:2">
      <c r="A550" t="s">
        <v>2188</v>
      </c>
      <c r="B550" s="323">
        <v>5</v>
      </c>
    </row>
    <row r="551" spans="1:2">
      <c r="A551" t="s">
        <v>2189</v>
      </c>
      <c r="B551" s="323">
        <v>5</v>
      </c>
    </row>
    <row r="552" spans="1:2">
      <c r="A552" t="s">
        <v>2190</v>
      </c>
      <c r="B552" s="323">
        <v>5</v>
      </c>
    </row>
    <row r="553" spans="1:2">
      <c r="A553" t="s">
        <v>2191</v>
      </c>
      <c r="B553" s="323">
        <v>5</v>
      </c>
    </row>
    <row r="554" spans="1:2">
      <c r="A554" t="s">
        <v>2192</v>
      </c>
      <c r="B554" s="323">
        <v>5</v>
      </c>
    </row>
    <row r="555" spans="1:2">
      <c r="A555" t="s">
        <v>2193</v>
      </c>
      <c r="B555" s="323">
        <v>5</v>
      </c>
    </row>
    <row r="556" spans="1:2">
      <c r="A556" t="s">
        <v>2194</v>
      </c>
      <c r="B556" s="323">
        <v>5</v>
      </c>
    </row>
    <row r="557" spans="1:2">
      <c r="A557" t="s">
        <v>2195</v>
      </c>
      <c r="B557" s="323">
        <v>5</v>
      </c>
    </row>
    <row r="558" spans="1:2">
      <c r="A558" t="s">
        <v>2196</v>
      </c>
      <c r="B558" s="323">
        <v>5</v>
      </c>
    </row>
    <row r="559" spans="1:2">
      <c r="A559" t="s">
        <v>2197</v>
      </c>
      <c r="B559" s="323">
        <v>5</v>
      </c>
    </row>
    <row r="560" spans="1:2">
      <c r="A560" t="s">
        <v>1002</v>
      </c>
      <c r="B560" s="323">
        <v>1</v>
      </c>
    </row>
    <row r="561" spans="1:2">
      <c r="A561" t="s">
        <v>1003</v>
      </c>
      <c r="B561" s="323">
        <v>0</v>
      </c>
    </row>
    <row r="562" spans="1:2">
      <c r="A562" t="s">
        <v>1004</v>
      </c>
      <c r="B562" s="323">
        <v>1</v>
      </c>
    </row>
    <row r="563" spans="1:2">
      <c r="A563" t="s">
        <v>1005</v>
      </c>
      <c r="B563" s="323">
        <v>1</v>
      </c>
    </row>
    <row r="564" spans="1:2">
      <c r="A564" t="s">
        <v>1006</v>
      </c>
      <c r="B564" s="323">
        <v>1</v>
      </c>
    </row>
    <row r="565" spans="1:2">
      <c r="A565" t="s">
        <v>1007</v>
      </c>
      <c r="B565" s="323">
        <v>1</v>
      </c>
    </row>
    <row r="566" spans="1:2">
      <c r="A566" t="s">
        <v>1008</v>
      </c>
      <c r="B566" s="323">
        <v>1</v>
      </c>
    </row>
    <row r="567" spans="1:2">
      <c r="A567" t="s">
        <v>1009</v>
      </c>
      <c r="B567" s="323">
        <v>1</v>
      </c>
    </row>
    <row r="568" spans="1:2">
      <c r="A568" t="s">
        <v>1010</v>
      </c>
      <c r="B568" s="323">
        <v>1</v>
      </c>
    </row>
    <row r="569" spans="1:2">
      <c r="A569" t="s">
        <v>1011</v>
      </c>
      <c r="B569" s="323">
        <v>1</v>
      </c>
    </row>
    <row r="570" spans="1:2">
      <c r="A570" t="s">
        <v>1012</v>
      </c>
      <c r="B570" s="323">
        <v>1</v>
      </c>
    </row>
    <row r="571" spans="1:2">
      <c r="A571" t="s">
        <v>1013</v>
      </c>
      <c r="B571" s="323">
        <v>1</v>
      </c>
    </row>
    <row r="572" spans="1:2">
      <c r="A572" t="s">
        <v>1014</v>
      </c>
      <c r="B572" s="323">
        <v>1</v>
      </c>
    </row>
    <row r="573" spans="1:2">
      <c r="A573" t="s">
        <v>1015</v>
      </c>
      <c r="B573" s="323">
        <v>1</v>
      </c>
    </row>
    <row r="574" spans="1:2">
      <c r="A574" t="s">
        <v>1016</v>
      </c>
      <c r="B574" s="323">
        <v>1</v>
      </c>
    </row>
    <row r="575" spans="1:2">
      <c r="A575" t="s">
        <v>1017</v>
      </c>
      <c r="B575" s="323">
        <v>1</v>
      </c>
    </row>
    <row r="576" spans="1:2">
      <c r="A576" t="s">
        <v>1018</v>
      </c>
      <c r="B576" s="323">
        <v>0</v>
      </c>
    </row>
    <row r="577" spans="1:2">
      <c r="A577" t="s">
        <v>1019</v>
      </c>
      <c r="B577" s="323">
        <v>1</v>
      </c>
    </row>
    <row r="578" spans="1:2">
      <c r="A578" t="s">
        <v>1020</v>
      </c>
      <c r="B578" s="323">
        <v>1</v>
      </c>
    </row>
    <row r="579" spans="1:2">
      <c r="A579" t="s">
        <v>1021</v>
      </c>
      <c r="B579" s="323">
        <v>1</v>
      </c>
    </row>
    <row r="580" spans="1:2">
      <c r="A580" t="s">
        <v>1022</v>
      </c>
      <c r="B580" s="323">
        <v>1</v>
      </c>
    </row>
    <row r="581" spans="1:2">
      <c r="A581" t="s">
        <v>1023</v>
      </c>
      <c r="B581" s="323">
        <v>0</v>
      </c>
    </row>
    <row r="582" spans="1:2">
      <c r="A582" t="s">
        <v>1024</v>
      </c>
      <c r="B582" s="323">
        <v>0</v>
      </c>
    </row>
    <row r="583" spans="1:2">
      <c r="A583" t="s">
        <v>1025</v>
      </c>
      <c r="B583" s="323">
        <v>1</v>
      </c>
    </row>
    <row r="584" spans="1:2">
      <c r="A584" t="s">
        <v>1026</v>
      </c>
      <c r="B584" s="323">
        <v>0</v>
      </c>
    </row>
    <row r="585" spans="1:2">
      <c r="A585" t="s">
        <v>1027</v>
      </c>
      <c r="B585" s="323">
        <v>1</v>
      </c>
    </row>
    <row r="586" spans="1:2">
      <c r="A586" t="s">
        <v>1028</v>
      </c>
      <c r="B586" s="323">
        <v>1</v>
      </c>
    </row>
    <row r="587" spans="1:2">
      <c r="A587" t="s">
        <v>1029</v>
      </c>
      <c r="B587" s="323">
        <v>1</v>
      </c>
    </row>
    <row r="588" spans="1:2">
      <c r="A588" t="s">
        <v>1030</v>
      </c>
      <c r="B588" s="323">
        <v>1</v>
      </c>
    </row>
    <row r="589" spans="1:2">
      <c r="A589" t="s">
        <v>1031</v>
      </c>
      <c r="B589" s="323">
        <v>1</v>
      </c>
    </row>
    <row r="590" spans="1:2">
      <c r="A590" t="s">
        <v>1032</v>
      </c>
      <c r="B590" s="323">
        <v>1</v>
      </c>
    </row>
    <row r="591" spans="1:2">
      <c r="A591" t="s">
        <v>1033</v>
      </c>
      <c r="B591" s="323">
        <v>1</v>
      </c>
    </row>
    <row r="592" spans="1:2">
      <c r="A592" t="s">
        <v>1034</v>
      </c>
      <c r="B592" s="323">
        <v>1</v>
      </c>
    </row>
    <row r="593" spans="1:2">
      <c r="A593" t="s">
        <v>1035</v>
      </c>
      <c r="B593" s="323">
        <v>1</v>
      </c>
    </row>
    <row r="594" spans="1:2">
      <c r="A594" t="s">
        <v>1036</v>
      </c>
      <c r="B594" s="323">
        <v>1</v>
      </c>
    </row>
    <row r="595" spans="1:2">
      <c r="A595" t="s">
        <v>1037</v>
      </c>
      <c r="B595" s="323">
        <v>1</v>
      </c>
    </row>
    <row r="596" spans="1:2">
      <c r="A596" t="s">
        <v>1038</v>
      </c>
      <c r="B596" s="323">
        <v>1</v>
      </c>
    </row>
    <row r="597" spans="1:2">
      <c r="A597" t="s">
        <v>1039</v>
      </c>
      <c r="B597" s="323">
        <v>1</v>
      </c>
    </row>
    <row r="598" spans="1:2">
      <c r="A598" t="s">
        <v>1040</v>
      </c>
      <c r="B598" s="323">
        <v>1</v>
      </c>
    </row>
    <row r="599" spans="1:2">
      <c r="A599" t="s">
        <v>1041</v>
      </c>
      <c r="B599" s="323">
        <v>1</v>
      </c>
    </row>
    <row r="600" spans="1:2">
      <c r="A600" t="s">
        <v>1042</v>
      </c>
      <c r="B600" s="323">
        <v>1</v>
      </c>
    </row>
    <row r="601" spans="1:2">
      <c r="A601" t="s">
        <v>1043</v>
      </c>
      <c r="B601" s="323">
        <v>7</v>
      </c>
    </row>
    <row r="602" spans="1:2">
      <c r="A602" t="s">
        <v>1044</v>
      </c>
      <c r="B602" s="323">
        <v>1</v>
      </c>
    </row>
    <row r="603" spans="1:2">
      <c r="A603" t="s">
        <v>1045</v>
      </c>
      <c r="B603" s="323">
        <v>1</v>
      </c>
    </row>
    <row r="604" spans="1:2">
      <c r="A604" t="s">
        <v>1046</v>
      </c>
      <c r="B604" s="323">
        <v>1</v>
      </c>
    </row>
    <row r="605" spans="1:2">
      <c r="A605" t="s">
        <v>2003</v>
      </c>
      <c r="B605" s="323">
        <v>2</v>
      </c>
    </row>
    <row r="606" spans="1:2">
      <c r="A606" t="s">
        <v>1047</v>
      </c>
      <c r="B606" s="323">
        <v>1</v>
      </c>
    </row>
    <row r="607" spans="1:2">
      <c r="A607" t="s">
        <v>1048</v>
      </c>
      <c r="B607" s="323">
        <v>1</v>
      </c>
    </row>
    <row r="608" spans="1:2">
      <c r="A608" t="s">
        <v>1049</v>
      </c>
      <c r="B608" s="323">
        <v>1</v>
      </c>
    </row>
    <row r="609" spans="1:2">
      <c r="A609" t="s">
        <v>1050</v>
      </c>
      <c r="B609" s="323">
        <v>1</v>
      </c>
    </row>
    <row r="610" spans="1:2">
      <c r="A610" t="s">
        <v>1051</v>
      </c>
      <c r="B610" s="323">
        <v>1</v>
      </c>
    </row>
    <row r="611" spans="1:2">
      <c r="A611" t="s">
        <v>1052</v>
      </c>
      <c r="B611" s="323">
        <v>1</v>
      </c>
    </row>
    <row r="612" spans="1:2">
      <c r="A612" t="s">
        <v>1053</v>
      </c>
      <c r="B612" s="323">
        <v>1</v>
      </c>
    </row>
    <row r="613" spans="1:2">
      <c r="A613" t="s">
        <v>1054</v>
      </c>
      <c r="B613" s="323">
        <v>1</v>
      </c>
    </row>
    <row r="614" spans="1:2">
      <c r="A614" t="s">
        <v>1055</v>
      </c>
      <c r="B614" s="323">
        <v>1</v>
      </c>
    </row>
    <row r="615" spans="1:2">
      <c r="A615" t="s">
        <v>1056</v>
      </c>
      <c r="B615" s="323">
        <v>7</v>
      </c>
    </row>
    <row r="616" spans="1:2">
      <c r="A616" t="s">
        <v>1057</v>
      </c>
      <c r="B616" s="323">
        <v>1</v>
      </c>
    </row>
    <row r="617" spans="1:2">
      <c r="A617" t="s">
        <v>1058</v>
      </c>
      <c r="B617" s="323">
        <v>7</v>
      </c>
    </row>
    <row r="618" spans="1:2">
      <c r="A618" t="s">
        <v>1059</v>
      </c>
      <c r="B618" s="323">
        <v>7</v>
      </c>
    </row>
    <row r="619" spans="1:2">
      <c r="A619" t="s">
        <v>1060</v>
      </c>
      <c r="B619" s="323">
        <v>1</v>
      </c>
    </row>
    <row r="620" spans="1:2">
      <c r="A620" t="s">
        <v>1061</v>
      </c>
      <c r="B620" s="323">
        <v>1</v>
      </c>
    </row>
    <row r="621" spans="1:2">
      <c r="A621" t="s">
        <v>1062</v>
      </c>
      <c r="B621" s="323">
        <v>1</v>
      </c>
    </row>
    <row r="622" spans="1:2">
      <c r="A622" t="s">
        <v>1063</v>
      </c>
      <c r="B622" s="323">
        <v>1</v>
      </c>
    </row>
    <row r="623" spans="1:2">
      <c r="A623" t="s">
        <v>1064</v>
      </c>
      <c r="B623" s="323">
        <v>1</v>
      </c>
    </row>
    <row r="624" spans="1:2">
      <c r="A624" t="s">
        <v>1065</v>
      </c>
      <c r="B624" s="323">
        <v>1</v>
      </c>
    </row>
    <row r="625" spans="1:2">
      <c r="A625" t="s">
        <v>1066</v>
      </c>
      <c r="B625" s="323">
        <v>1</v>
      </c>
    </row>
    <row r="626" spans="1:2">
      <c r="A626" t="s">
        <v>1067</v>
      </c>
      <c r="B626" s="323">
        <v>1</v>
      </c>
    </row>
    <row r="627" spans="1:2">
      <c r="A627" t="s">
        <v>1068</v>
      </c>
      <c r="B627" s="323">
        <v>1</v>
      </c>
    </row>
    <row r="628" spans="1:2">
      <c r="A628" t="s">
        <v>1069</v>
      </c>
      <c r="B628" s="323">
        <v>1</v>
      </c>
    </row>
    <row r="629" spans="1:2">
      <c r="A629" t="s">
        <v>1070</v>
      </c>
      <c r="B629" s="323">
        <v>1</v>
      </c>
    </row>
    <row r="630" spans="1:2">
      <c r="A630" t="s">
        <v>1071</v>
      </c>
      <c r="B630" s="323">
        <v>1</v>
      </c>
    </row>
    <row r="631" spans="1:2">
      <c r="A631" t="s">
        <v>1072</v>
      </c>
      <c r="B631" s="323">
        <v>1</v>
      </c>
    </row>
    <row r="632" spans="1:2">
      <c r="A632" t="s">
        <v>1073</v>
      </c>
      <c r="B632" s="323">
        <v>1</v>
      </c>
    </row>
    <row r="633" spans="1:2">
      <c r="A633" t="s">
        <v>1074</v>
      </c>
      <c r="B633" s="323">
        <v>1</v>
      </c>
    </row>
    <row r="634" spans="1:2">
      <c r="A634" t="s">
        <v>1075</v>
      </c>
      <c r="B634" s="323">
        <v>1</v>
      </c>
    </row>
    <row r="635" spans="1:2">
      <c r="A635" t="s">
        <v>1076</v>
      </c>
      <c r="B635" s="323">
        <v>1</v>
      </c>
    </row>
    <row r="636" spans="1:2">
      <c r="A636" t="s">
        <v>1077</v>
      </c>
      <c r="B636" s="323">
        <v>1</v>
      </c>
    </row>
    <row r="637" spans="1:2">
      <c r="A637" t="s">
        <v>1078</v>
      </c>
      <c r="B637" s="323">
        <v>1</v>
      </c>
    </row>
    <row r="638" spans="1:2">
      <c r="A638" t="s">
        <v>1079</v>
      </c>
      <c r="B638" s="323">
        <v>1</v>
      </c>
    </row>
    <row r="639" spans="1:2">
      <c r="A639" t="s">
        <v>1080</v>
      </c>
      <c r="B639" s="323">
        <v>1</v>
      </c>
    </row>
    <row r="640" spans="1:2">
      <c r="A640" t="s">
        <v>1081</v>
      </c>
      <c r="B640" s="323">
        <v>1</v>
      </c>
    </row>
    <row r="641" spans="1:2">
      <c r="A641" t="s">
        <v>1082</v>
      </c>
      <c r="B641" s="323">
        <v>1</v>
      </c>
    </row>
    <row r="642" spans="1:2">
      <c r="A642" t="s">
        <v>1083</v>
      </c>
      <c r="B642" s="323">
        <v>1</v>
      </c>
    </row>
    <row r="643" spans="1:2">
      <c r="A643" t="s">
        <v>1084</v>
      </c>
      <c r="B643" s="323">
        <v>1</v>
      </c>
    </row>
    <row r="644" spans="1:2">
      <c r="A644" t="s">
        <v>1085</v>
      </c>
      <c r="B644" s="323">
        <v>1</v>
      </c>
    </row>
    <row r="645" spans="1:2">
      <c r="A645" t="s">
        <v>1086</v>
      </c>
      <c r="B645" s="323">
        <v>1</v>
      </c>
    </row>
    <row r="646" spans="1:2">
      <c r="A646" t="s">
        <v>1087</v>
      </c>
      <c r="B646" s="323">
        <v>1</v>
      </c>
    </row>
    <row r="647" spans="1:2">
      <c r="A647" t="s">
        <v>1088</v>
      </c>
      <c r="B647" s="323">
        <v>1</v>
      </c>
    </row>
    <row r="648" spans="1:2">
      <c r="A648" t="s">
        <v>1089</v>
      </c>
      <c r="B648" s="323">
        <v>1</v>
      </c>
    </row>
    <row r="649" spans="1:2">
      <c r="A649" t="s">
        <v>1090</v>
      </c>
      <c r="B649" s="323">
        <v>1</v>
      </c>
    </row>
    <row r="650" spans="1:2">
      <c r="A650" t="s">
        <v>1091</v>
      </c>
      <c r="B650" s="323">
        <v>1</v>
      </c>
    </row>
    <row r="651" spans="1:2">
      <c r="A651" t="s">
        <v>1092</v>
      </c>
      <c r="B651" s="323">
        <v>1</v>
      </c>
    </row>
    <row r="652" spans="1:2">
      <c r="A652" t="s">
        <v>1093</v>
      </c>
      <c r="B652" s="323">
        <v>1</v>
      </c>
    </row>
    <row r="653" spans="1:2">
      <c r="A653" t="s">
        <v>1094</v>
      </c>
      <c r="B653" s="323">
        <v>1</v>
      </c>
    </row>
    <row r="654" spans="1:2">
      <c r="A654" t="s">
        <v>1095</v>
      </c>
      <c r="B654" s="323">
        <v>1</v>
      </c>
    </row>
    <row r="655" spans="1:2">
      <c r="A655" t="s">
        <v>1096</v>
      </c>
      <c r="B655" s="323">
        <v>1</v>
      </c>
    </row>
    <row r="656" spans="1:2">
      <c r="A656" t="s">
        <v>1097</v>
      </c>
      <c r="B656" s="323">
        <v>1</v>
      </c>
    </row>
    <row r="657" spans="1:2">
      <c r="A657" t="s">
        <v>1098</v>
      </c>
      <c r="B657" s="323">
        <v>1</v>
      </c>
    </row>
    <row r="658" spans="1:2">
      <c r="A658" t="s">
        <v>1099</v>
      </c>
      <c r="B658" s="323">
        <v>1</v>
      </c>
    </row>
    <row r="659" spans="1:2">
      <c r="A659" t="s">
        <v>1100</v>
      </c>
      <c r="B659" s="323">
        <v>1</v>
      </c>
    </row>
    <row r="660" spans="1:2">
      <c r="A660" t="s">
        <v>1101</v>
      </c>
      <c r="B660" s="323">
        <v>1</v>
      </c>
    </row>
    <row r="661" spans="1:2">
      <c r="A661" t="s">
        <v>1102</v>
      </c>
      <c r="B661" s="323">
        <v>1</v>
      </c>
    </row>
    <row r="662" spans="1:2">
      <c r="A662" t="s">
        <v>1103</v>
      </c>
      <c r="B662" s="323">
        <v>1</v>
      </c>
    </row>
    <row r="663" spans="1:2">
      <c r="A663" t="s">
        <v>1104</v>
      </c>
      <c r="B663" s="323">
        <v>1</v>
      </c>
    </row>
    <row r="664" spans="1:2">
      <c r="A664" t="s">
        <v>1105</v>
      </c>
      <c r="B664" s="323">
        <v>1</v>
      </c>
    </row>
    <row r="665" spans="1:2">
      <c r="A665" t="s">
        <v>1106</v>
      </c>
      <c r="B665" s="323">
        <v>1</v>
      </c>
    </row>
    <row r="666" spans="1:2">
      <c r="A666" t="s">
        <v>1107</v>
      </c>
      <c r="B666" s="323">
        <v>1</v>
      </c>
    </row>
    <row r="667" spans="1:2">
      <c r="A667" t="s">
        <v>1108</v>
      </c>
      <c r="B667" s="323">
        <v>1</v>
      </c>
    </row>
    <row r="668" spans="1:2">
      <c r="A668" t="s">
        <v>1109</v>
      </c>
      <c r="B668" s="323">
        <v>1</v>
      </c>
    </row>
    <row r="669" spans="1:2">
      <c r="A669" t="s">
        <v>1110</v>
      </c>
      <c r="B669" s="323">
        <v>1</v>
      </c>
    </row>
    <row r="670" spans="1:2">
      <c r="A670" t="s">
        <v>1111</v>
      </c>
      <c r="B670" s="323">
        <v>1</v>
      </c>
    </row>
    <row r="671" spans="1:2">
      <c r="A671" t="s">
        <v>1112</v>
      </c>
      <c r="B671" s="323">
        <v>1</v>
      </c>
    </row>
    <row r="672" spans="1:2">
      <c r="A672" t="s">
        <v>1113</v>
      </c>
      <c r="B672" s="323">
        <v>0</v>
      </c>
    </row>
    <row r="673" spans="1:2">
      <c r="A673" t="s">
        <v>1114</v>
      </c>
      <c r="B673" s="323">
        <v>1</v>
      </c>
    </row>
    <row r="674" spans="1:2">
      <c r="A674" t="s">
        <v>1115</v>
      </c>
      <c r="B674" s="323">
        <v>1</v>
      </c>
    </row>
    <row r="675" spans="1:2">
      <c r="A675" t="s">
        <v>1116</v>
      </c>
      <c r="B675" s="323">
        <v>1</v>
      </c>
    </row>
    <row r="676" spans="1:2">
      <c r="A676" t="s">
        <v>1117</v>
      </c>
      <c r="B676" s="323">
        <v>1</v>
      </c>
    </row>
    <row r="677" spans="1:2">
      <c r="A677" t="s">
        <v>1118</v>
      </c>
      <c r="B677" s="323">
        <v>1</v>
      </c>
    </row>
    <row r="678" spans="1:2">
      <c r="A678" t="s">
        <v>1119</v>
      </c>
      <c r="B678" s="323">
        <v>1</v>
      </c>
    </row>
    <row r="679" spans="1:2">
      <c r="A679" t="s">
        <v>1120</v>
      </c>
      <c r="B679" s="323">
        <v>1</v>
      </c>
    </row>
    <row r="680" spans="1:2">
      <c r="A680" t="s">
        <v>1121</v>
      </c>
      <c r="B680" s="323">
        <v>1</v>
      </c>
    </row>
    <row r="681" spans="1:2">
      <c r="A681" t="s">
        <v>1122</v>
      </c>
      <c r="B681" s="323">
        <v>1</v>
      </c>
    </row>
    <row r="682" spans="1:2">
      <c r="A682" t="s">
        <v>1123</v>
      </c>
      <c r="B682" s="323">
        <v>1</v>
      </c>
    </row>
    <row r="683" spans="1:2">
      <c r="A683" t="s">
        <v>1124</v>
      </c>
      <c r="B683" s="323">
        <v>1</v>
      </c>
    </row>
    <row r="684" spans="1:2">
      <c r="A684" t="s">
        <v>1125</v>
      </c>
      <c r="B684" s="323">
        <v>1</v>
      </c>
    </row>
    <row r="685" spans="1:2">
      <c r="A685" t="s">
        <v>1126</v>
      </c>
      <c r="B685" s="323">
        <v>1</v>
      </c>
    </row>
    <row r="686" spans="1:2">
      <c r="A686" t="s">
        <v>1127</v>
      </c>
      <c r="B686" s="323">
        <v>1</v>
      </c>
    </row>
    <row r="687" spans="1:2">
      <c r="A687" t="s">
        <v>1128</v>
      </c>
      <c r="B687" s="323">
        <v>1</v>
      </c>
    </row>
    <row r="688" spans="1:2">
      <c r="A688" t="s">
        <v>1129</v>
      </c>
      <c r="B688" s="323">
        <v>0</v>
      </c>
    </row>
    <row r="689" spans="1:2">
      <c r="A689" t="s">
        <v>1130</v>
      </c>
      <c r="B689" s="323">
        <v>1</v>
      </c>
    </row>
    <row r="690" spans="1:2">
      <c r="A690" t="s">
        <v>1131</v>
      </c>
      <c r="B690" s="323">
        <v>1</v>
      </c>
    </row>
    <row r="691" spans="1:2">
      <c r="A691" t="s">
        <v>1132</v>
      </c>
      <c r="B691" s="323">
        <v>1</v>
      </c>
    </row>
    <row r="692" spans="1:2">
      <c r="A692" t="s">
        <v>2226</v>
      </c>
      <c r="B692" s="323">
        <v>1</v>
      </c>
    </row>
    <row r="693" spans="1:2">
      <c r="A693" t="s">
        <v>1133</v>
      </c>
      <c r="B693" s="323">
        <v>1</v>
      </c>
    </row>
    <row r="694" spans="1:2">
      <c r="A694" t="s">
        <v>1134</v>
      </c>
      <c r="B694" s="323">
        <v>1</v>
      </c>
    </row>
    <row r="695" spans="1:2">
      <c r="A695" t="s">
        <v>1135</v>
      </c>
      <c r="B695" s="323">
        <v>1</v>
      </c>
    </row>
    <row r="696" spans="1:2">
      <c r="A696" t="s">
        <v>1136</v>
      </c>
      <c r="B696" s="323">
        <v>1</v>
      </c>
    </row>
    <row r="697" spans="1:2">
      <c r="A697" t="s">
        <v>1137</v>
      </c>
      <c r="B697" s="323">
        <v>1</v>
      </c>
    </row>
    <row r="698" spans="1:2">
      <c r="A698" t="s">
        <v>1138</v>
      </c>
      <c r="B698" s="323">
        <v>1</v>
      </c>
    </row>
    <row r="699" spans="1:2">
      <c r="A699" t="s">
        <v>1139</v>
      </c>
      <c r="B699" s="323">
        <v>1</v>
      </c>
    </row>
    <row r="700" spans="1:2">
      <c r="A700" t="s">
        <v>1140</v>
      </c>
      <c r="B700" s="323">
        <v>1</v>
      </c>
    </row>
    <row r="701" spans="1:2">
      <c r="A701" t="s">
        <v>1141</v>
      </c>
      <c r="B701" s="323">
        <v>1</v>
      </c>
    </row>
    <row r="702" spans="1:2">
      <c r="A702" t="s">
        <v>1142</v>
      </c>
      <c r="B702" s="323">
        <v>1</v>
      </c>
    </row>
    <row r="703" spans="1:2">
      <c r="A703" t="s">
        <v>1143</v>
      </c>
      <c r="B703" s="323">
        <v>1</v>
      </c>
    </row>
    <row r="704" spans="1:2">
      <c r="A704" t="s">
        <v>1144</v>
      </c>
      <c r="B704" s="323">
        <v>0</v>
      </c>
    </row>
    <row r="705" spans="1:2">
      <c r="A705" t="s">
        <v>1145</v>
      </c>
      <c r="B705" s="323">
        <v>1</v>
      </c>
    </row>
    <row r="706" spans="1:2">
      <c r="A706" t="s">
        <v>1146</v>
      </c>
      <c r="B706" s="323">
        <v>1</v>
      </c>
    </row>
    <row r="707" spans="1:2">
      <c r="A707" t="s">
        <v>1147</v>
      </c>
      <c r="B707" s="323">
        <v>1</v>
      </c>
    </row>
    <row r="708" spans="1:2">
      <c r="A708" t="s">
        <v>1148</v>
      </c>
      <c r="B708" s="323">
        <v>0</v>
      </c>
    </row>
    <row r="709" spans="1:2">
      <c r="A709" t="s">
        <v>1149</v>
      </c>
      <c r="B709" s="323">
        <v>1</v>
      </c>
    </row>
    <row r="710" spans="1:2">
      <c r="A710" t="s">
        <v>1150</v>
      </c>
      <c r="B710" s="323">
        <v>1</v>
      </c>
    </row>
    <row r="711" spans="1:2">
      <c r="A711" t="s">
        <v>1151</v>
      </c>
      <c r="B711" s="323">
        <v>0</v>
      </c>
    </row>
    <row r="712" spans="1:2">
      <c r="A712" t="s">
        <v>1152</v>
      </c>
      <c r="B712" s="323">
        <v>1</v>
      </c>
    </row>
    <row r="713" spans="1:2">
      <c r="A713" t="s">
        <v>1153</v>
      </c>
      <c r="B713" s="323">
        <v>1</v>
      </c>
    </row>
    <row r="714" spans="1:2">
      <c r="A714" t="s">
        <v>1154</v>
      </c>
      <c r="B714" s="323">
        <v>1</v>
      </c>
    </row>
    <row r="715" spans="1:2">
      <c r="A715" t="s">
        <v>1155</v>
      </c>
      <c r="B715" s="323">
        <v>1</v>
      </c>
    </row>
    <row r="716" spans="1:2">
      <c r="A716" t="s">
        <v>1156</v>
      </c>
      <c r="B716" s="323">
        <v>1</v>
      </c>
    </row>
    <row r="717" spans="1:2">
      <c r="A717" t="s">
        <v>1157</v>
      </c>
      <c r="B717" s="323">
        <v>1</v>
      </c>
    </row>
    <row r="718" spans="1:2">
      <c r="A718" t="s">
        <v>1158</v>
      </c>
      <c r="B718" s="323">
        <v>1</v>
      </c>
    </row>
    <row r="719" spans="1:2">
      <c r="A719" t="s">
        <v>1159</v>
      </c>
      <c r="B719" s="323">
        <v>1</v>
      </c>
    </row>
    <row r="720" spans="1:2">
      <c r="A720" t="s">
        <v>1160</v>
      </c>
      <c r="B720" s="323">
        <v>1</v>
      </c>
    </row>
    <row r="721" spans="1:2">
      <c r="A721" t="s">
        <v>1161</v>
      </c>
      <c r="B721" s="323">
        <v>1</v>
      </c>
    </row>
    <row r="722" spans="1:2">
      <c r="A722" t="s">
        <v>1162</v>
      </c>
      <c r="B722" s="323">
        <v>1</v>
      </c>
    </row>
    <row r="723" spans="1:2">
      <c r="A723" t="s">
        <v>1163</v>
      </c>
      <c r="B723" s="323">
        <v>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2"/>
  <sheetViews>
    <sheetView showGridLines="0" topLeftCell="A4"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38.69921875" customWidth="1"/>
    <col min="7" max="7" width="15.19921875" customWidth="1"/>
    <col min="8" max="8" width="15" customWidth="1"/>
    <col min="9" max="9" width="38.19921875" customWidth="1"/>
    <col min="10" max="10" width="23.3984375" customWidth="1"/>
    <col min="11" max="11" width="12.5" customWidth="1"/>
    <col min="12" max="13" width="11.69921875"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6" t="s">
        <v>1958</v>
      </c>
    </row>
    <row r="3" spans="2:12" ht="17.399999999999999" customHeight="1">
      <c r="B3" s="340"/>
    </row>
    <row r="6" spans="2:12" ht="18" customHeight="1">
      <c r="B6" s="49" t="s">
        <v>8</v>
      </c>
      <c r="C6" t="s">
        <v>26</v>
      </c>
    </row>
    <row r="7" spans="2:12">
      <c r="B7" s="49" t="s">
        <v>10</v>
      </c>
      <c r="C7" t="s">
        <v>40</v>
      </c>
    </row>
    <row r="9" spans="2:12">
      <c r="B9" s="49" t="s">
        <v>1165</v>
      </c>
      <c r="C9" s="49" t="s">
        <v>1166</v>
      </c>
    </row>
    <row r="10" spans="2:12">
      <c r="B10" s="49" t="s">
        <v>1167</v>
      </c>
      <c r="C10" t="s">
        <v>611</v>
      </c>
      <c r="D10" t="s">
        <v>612</v>
      </c>
      <c r="E10" t="s">
        <v>1862</v>
      </c>
      <c r="F10" t="s">
        <v>613</v>
      </c>
      <c r="G10" t="s">
        <v>614</v>
      </c>
      <c r="H10" t="s">
        <v>615</v>
      </c>
      <c r="I10" t="s">
        <v>617</v>
      </c>
      <c r="J10" t="s">
        <v>1863</v>
      </c>
      <c r="K10" t="s">
        <v>28</v>
      </c>
      <c r="L10" t="s">
        <v>1163</v>
      </c>
    </row>
    <row r="11" spans="2:12">
      <c r="B11" s="50" t="s">
        <v>27</v>
      </c>
      <c r="C11" s="323">
        <v>10</v>
      </c>
      <c r="D11" s="323">
        <v>143</v>
      </c>
      <c r="E11" s="323">
        <v>1</v>
      </c>
      <c r="F11" s="323"/>
      <c r="G11" s="323"/>
      <c r="H11" s="323"/>
      <c r="I11" s="323">
        <v>48</v>
      </c>
      <c r="J11" s="323"/>
      <c r="K11" s="323"/>
      <c r="L11" s="323">
        <v>202</v>
      </c>
    </row>
    <row r="12" spans="2:12">
      <c r="B12" s="50" t="s">
        <v>29</v>
      </c>
      <c r="C12" s="323">
        <v>12</v>
      </c>
      <c r="D12" s="323">
        <v>178</v>
      </c>
      <c r="E12" s="323"/>
      <c r="F12" s="323">
        <v>6</v>
      </c>
      <c r="G12" s="323">
        <v>55</v>
      </c>
      <c r="H12" s="323"/>
      <c r="I12" s="323"/>
      <c r="J12" s="323">
        <v>7</v>
      </c>
      <c r="K12" s="323"/>
      <c r="L12" s="323">
        <v>258</v>
      </c>
    </row>
    <row r="13" spans="2:12">
      <c r="B13" s="50" t="s">
        <v>26</v>
      </c>
      <c r="C13" s="323">
        <v>4</v>
      </c>
      <c r="D13" s="323">
        <v>132</v>
      </c>
      <c r="E13" s="323"/>
      <c r="F13" s="323">
        <v>9</v>
      </c>
      <c r="G13" s="323">
        <v>1</v>
      </c>
      <c r="H13" s="323">
        <v>3</v>
      </c>
      <c r="I13" s="323"/>
      <c r="J13" s="323">
        <v>1</v>
      </c>
      <c r="K13" s="323">
        <v>3</v>
      </c>
      <c r="L13" s="323">
        <v>153</v>
      </c>
    </row>
    <row r="14" spans="2:12">
      <c r="B14" s="50" t="s">
        <v>2135</v>
      </c>
      <c r="C14" s="323"/>
      <c r="D14" s="323">
        <v>33</v>
      </c>
      <c r="E14" s="323"/>
      <c r="F14" s="323"/>
      <c r="G14" s="323"/>
      <c r="H14" s="323"/>
      <c r="I14" s="323"/>
      <c r="J14" s="323"/>
      <c r="K14" s="323">
        <v>54</v>
      </c>
      <c r="L14" s="323">
        <v>87</v>
      </c>
    </row>
    <row r="15" spans="2:12">
      <c r="B15" s="50" t="s">
        <v>1163</v>
      </c>
      <c r="C15" s="323">
        <v>26</v>
      </c>
      <c r="D15" s="323">
        <v>486</v>
      </c>
      <c r="E15" s="323">
        <v>1</v>
      </c>
      <c r="F15" s="323">
        <v>15</v>
      </c>
      <c r="G15" s="323">
        <v>56</v>
      </c>
      <c r="H15" s="323">
        <v>3</v>
      </c>
      <c r="I15" s="323">
        <v>48</v>
      </c>
      <c r="J15" s="323">
        <v>8</v>
      </c>
      <c r="K15" s="323">
        <v>57</v>
      </c>
      <c r="L15" s="323">
        <v>700</v>
      </c>
    </row>
    <row r="18" spans="2:10">
      <c r="B18" s="50"/>
      <c r="C18" s="323"/>
      <c r="D18" s="323"/>
      <c r="E18" s="323"/>
      <c r="F18" s="323"/>
      <c r="G18" s="323"/>
      <c r="H18" s="323"/>
      <c r="I18" s="323"/>
      <c r="J18" s="323"/>
    </row>
    <row r="19" spans="2:10">
      <c r="B19" s="49" t="s">
        <v>8</v>
      </c>
      <c r="C19" t="s">
        <v>26</v>
      </c>
    </row>
    <row r="20" spans="2:10">
      <c r="B20" s="49" t="s">
        <v>1964</v>
      </c>
      <c r="C20" t="s">
        <v>1963</v>
      </c>
    </row>
    <row r="21" spans="2:10">
      <c r="B21" s="49" t="s">
        <v>10</v>
      </c>
      <c r="C21" t="s">
        <v>40</v>
      </c>
    </row>
    <row r="23" spans="2:10">
      <c r="B23" s="49" t="s">
        <v>1167</v>
      </c>
      <c r="C23" t="s">
        <v>1165</v>
      </c>
    </row>
    <row r="24" spans="2:10">
      <c r="B24" s="50" t="s">
        <v>611</v>
      </c>
      <c r="C24" s="323">
        <v>26</v>
      </c>
    </row>
    <row r="25" spans="2:10">
      <c r="B25" s="50" t="s">
        <v>612</v>
      </c>
      <c r="C25" s="323">
        <v>486</v>
      </c>
    </row>
    <row r="26" spans="2:10">
      <c r="B26" s="50" t="s">
        <v>1862</v>
      </c>
      <c r="C26" s="323">
        <v>1</v>
      </c>
    </row>
    <row r="27" spans="2:10">
      <c r="B27" s="50" t="s">
        <v>613</v>
      </c>
      <c r="C27" s="323">
        <v>15</v>
      </c>
    </row>
    <row r="28" spans="2:10">
      <c r="B28" s="50" t="s">
        <v>614</v>
      </c>
      <c r="C28" s="323">
        <v>56</v>
      </c>
    </row>
    <row r="29" spans="2:10">
      <c r="B29" s="50" t="s">
        <v>615</v>
      </c>
      <c r="C29" s="323">
        <v>3</v>
      </c>
    </row>
    <row r="30" spans="2:10">
      <c r="B30" s="50" t="s">
        <v>617</v>
      </c>
      <c r="C30" s="323">
        <v>48</v>
      </c>
    </row>
    <row r="31" spans="2:10">
      <c r="B31" s="50" t="s">
        <v>1863</v>
      </c>
      <c r="C31" s="323">
        <v>8</v>
      </c>
    </row>
    <row r="32" spans="2:10">
      <c r="B32" s="50" t="s">
        <v>28</v>
      </c>
      <c r="C32" s="323">
        <v>57</v>
      </c>
    </row>
    <row r="33" spans="2:12">
      <c r="B33" s="50" t="s">
        <v>1163</v>
      </c>
      <c r="C33" s="323">
        <v>700</v>
      </c>
    </row>
    <row r="40" spans="2:12">
      <c r="B40" s="339"/>
      <c r="C40" s="339"/>
      <c r="D40" s="339"/>
    </row>
    <row r="41" spans="2:12">
      <c r="B41" s="339"/>
      <c r="C41" s="339"/>
      <c r="D41" s="339"/>
    </row>
    <row r="42" spans="2:12" ht="22.2">
      <c r="B42" s="126" t="s">
        <v>1959</v>
      </c>
      <c r="C42" s="10"/>
      <c r="D42" s="10"/>
      <c r="E42" s="10"/>
      <c r="F42" s="10"/>
      <c r="G42" s="10"/>
      <c r="H42" s="10"/>
      <c r="I42" s="10"/>
      <c r="J42" s="10"/>
      <c r="K42" s="10"/>
      <c r="L42" s="10"/>
    </row>
    <row r="45" spans="2:12">
      <c r="B45" s="49" t="s">
        <v>8</v>
      </c>
      <c r="C45" t="s" vm="1">
        <v>26</v>
      </c>
    </row>
    <row r="46" spans="2:12">
      <c r="B46" s="49" t="s">
        <v>9</v>
      </c>
      <c r="C46" t="s" vm="2">
        <v>1164</v>
      </c>
    </row>
    <row r="47" spans="2:12">
      <c r="B47" s="49" t="s">
        <v>10</v>
      </c>
      <c r="C47" t="s" vm="3">
        <v>40</v>
      </c>
    </row>
    <row r="49" spans="2:7">
      <c r="B49" s="49" t="s">
        <v>1165</v>
      </c>
      <c r="C49" s="49" t="s">
        <v>1166</v>
      </c>
    </row>
    <row r="50" spans="2:7">
      <c r="B50" s="49" t="s">
        <v>1167</v>
      </c>
      <c r="C50" t="s">
        <v>611</v>
      </c>
      <c r="D50" t="s">
        <v>612</v>
      </c>
      <c r="E50" t="s">
        <v>1862</v>
      </c>
      <c r="F50" t="s">
        <v>617</v>
      </c>
      <c r="G50" t="s">
        <v>1163</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1163</v>
      </c>
      <c r="C57" s="323">
        <v>10</v>
      </c>
      <c r="D57" s="323">
        <v>143</v>
      </c>
      <c r="E57" s="323">
        <v>1</v>
      </c>
      <c r="F57" s="323">
        <v>48</v>
      </c>
      <c r="G57" s="323">
        <v>202</v>
      </c>
    </row>
    <row r="62" spans="2:7">
      <c r="B62" s="49" t="s">
        <v>8</v>
      </c>
      <c r="C62" t="s" vm="1">
        <v>26</v>
      </c>
    </row>
    <row r="63" spans="2:7">
      <c r="B63" s="49" t="s">
        <v>9</v>
      </c>
      <c r="C63" t="s" vm="2">
        <v>1164</v>
      </c>
    </row>
    <row r="64" spans="2:7">
      <c r="B64" s="49" t="s">
        <v>10</v>
      </c>
      <c r="C64" t="s" vm="3">
        <v>40</v>
      </c>
    </row>
    <row r="66" spans="2:3">
      <c r="B66" s="49" t="s">
        <v>1167</v>
      </c>
      <c r="C66" t="s">
        <v>1165</v>
      </c>
    </row>
    <row r="67" spans="2:3">
      <c r="B67" s="50" t="s">
        <v>611</v>
      </c>
      <c r="C67" s="323">
        <v>10</v>
      </c>
    </row>
    <row r="68" spans="2:3">
      <c r="B68" s="50" t="s">
        <v>612</v>
      </c>
      <c r="C68" s="323">
        <v>143</v>
      </c>
    </row>
    <row r="69" spans="2:3">
      <c r="B69" s="50" t="s">
        <v>1862</v>
      </c>
      <c r="C69" s="323">
        <v>1</v>
      </c>
    </row>
    <row r="70" spans="2:3">
      <c r="B70" s="50" t="s">
        <v>617</v>
      </c>
      <c r="C70" s="323">
        <v>48</v>
      </c>
    </row>
    <row r="71" spans="2:3">
      <c r="B71" s="50" t="s">
        <v>1163</v>
      </c>
      <c r="C71" s="323">
        <v>202</v>
      </c>
    </row>
    <row r="81" spans="2:16" ht="22.2">
      <c r="B81" s="126" t="s">
        <v>1960</v>
      </c>
      <c r="C81" s="10"/>
      <c r="D81" s="10"/>
      <c r="E81" s="10"/>
      <c r="F81" s="10"/>
      <c r="G81" s="10"/>
      <c r="H81" s="10"/>
      <c r="I81" s="10"/>
      <c r="J81" s="10"/>
      <c r="K81" s="10"/>
      <c r="L81" s="10"/>
      <c r="M81" s="10"/>
      <c r="N81" s="10"/>
      <c r="O81" s="10"/>
      <c r="P81" s="10"/>
    </row>
    <row r="83" spans="2:16">
      <c r="B83" s="49" t="s">
        <v>8</v>
      </c>
      <c r="C83" t="s" vm="1">
        <v>26</v>
      </c>
    </row>
    <row r="84" spans="2:16">
      <c r="B84" s="49" t="s">
        <v>9</v>
      </c>
      <c r="C84" t="s" vm="4">
        <v>1164</v>
      </c>
    </row>
    <row r="85" spans="2:16">
      <c r="B85" s="49" t="s">
        <v>10</v>
      </c>
      <c r="C85" t="s" vm="3">
        <v>40</v>
      </c>
    </row>
    <row r="87" spans="2:16">
      <c r="B87" s="49" t="s">
        <v>1165</v>
      </c>
      <c r="C87" s="49" t="s">
        <v>1166</v>
      </c>
    </row>
    <row r="88" spans="2:16">
      <c r="B88" s="49" t="s">
        <v>1167</v>
      </c>
      <c r="C88" t="s">
        <v>611</v>
      </c>
      <c r="D88" t="s">
        <v>612</v>
      </c>
      <c r="E88" t="s">
        <v>1863</v>
      </c>
      <c r="F88" t="s">
        <v>613</v>
      </c>
      <c r="G88" t="s">
        <v>614</v>
      </c>
      <c r="H88" t="s">
        <v>28</v>
      </c>
      <c r="I88" t="s">
        <v>1163</v>
      </c>
    </row>
    <row r="89" spans="2:16">
      <c r="B89" s="50" t="s">
        <v>2154</v>
      </c>
      <c r="C89" s="323"/>
      <c r="D89" s="323"/>
      <c r="E89" s="323"/>
      <c r="F89" s="323"/>
      <c r="G89" s="323">
        <v>42</v>
      </c>
      <c r="H89" s="323"/>
      <c r="I89" s="323">
        <v>42</v>
      </c>
    </row>
    <row r="90" spans="2:16">
      <c r="B90" s="50" t="s">
        <v>2137</v>
      </c>
      <c r="C90" s="323">
        <v>1</v>
      </c>
      <c r="D90" s="323">
        <v>1</v>
      </c>
      <c r="E90" s="323"/>
      <c r="F90" s="323"/>
      <c r="G90" s="323">
        <v>13</v>
      </c>
      <c r="H90" s="323"/>
      <c r="I90" s="323">
        <v>15</v>
      </c>
    </row>
    <row r="91" spans="2:16">
      <c r="B91" s="50" t="s">
        <v>331</v>
      </c>
      <c r="C91" s="323"/>
      <c r="D91" s="323">
        <v>15</v>
      </c>
      <c r="E91" s="323"/>
      <c r="F91" s="323"/>
      <c r="G91" s="323"/>
      <c r="H91" s="323"/>
      <c r="I91" s="323">
        <v>15</v>
      </c>
    </row>
    <row r="92" spans="2:16">
      <c r="B92" s="50" t="s">
        <v>325</v>
      </c>
      <c r="C92" s="323"/>
      <c r="D92" s="323">
        <v>41</v>
      </c>
      <c r="E92" s="323">
        <v>5</v>
      </c>
      <c r="F92" s="323">
        <v>6</v>
      </c>
      <c r="G92" s="323"/>
      <c r="H92" s="323"/>
      <c r="I92" s="323">
        <v>52</v>
      </c>
    </row>
    <row r="93" spans="2:16">
      <c r="B93" s="50" t="s">
        <v>311</v>
      </c>
      <c r="C93" s="323"/>
      <c r="D93" s="323">
        <v>16</v>
      </c>
      <c r="E93" s="323">
        <v>2</v>
      </c>
      <c r="F93" s="323"/>
      <c r="G93" s="323"/>
      <c r="H93" s="323"/>
      <c r="I93" s="323">
        <v>18</v>
      </c>
    </row>
    <row r="94" spans="2:16">
      <c r="B94" s="50" t="s">
        <v>2218</v>
      </c>
      <c r="C94" s="323"/>
      <c r="D94" s="323"/>
      <c r="E94" s="323"/>
      <c r="F94" s="323"/>
      <c r="G94" s="323"/>
      <c r="H94" s="323">
        <v>5</v>
      </c>
      <c r="I94" s="323">
        <v>5</v>
      </c>
    </row>
    <row r="95" spans="2:16">
      <c r="B95" s="50" t="s">
        <v>216</v>
      </c>
      <c r="C95" s="323"/>
      <c r="D95" s="323">
        <v>6</v>
      </c>
      <c r="E95" s="323"/>
      <c r="F95" s="323"/>
      <c r="G95" s="323"/>
      <c r="H95" s="323"/>
      <c r="I95" s="323">
        <v>6</v>
      </c>
    </row>
    <row r="96" spans="2:16">
      <c r="B96" s="50" t="s">
        <v>2117</v>
      </c>
      <c r="C96" s="323"/>
      <c r="D96" s="323">
        <v>9</v>
      </c>
      <c r="E96" s="323"/>
      <c r="F96" s="323"/>
      <c r="G96" s="323"/>
      <c r="H96" s="323"/>
      <c r="I96" s="323">
        <v>9</v>
      </c>
    </row>
    <row r="97" spans="2:9">
      <c r="B97" s="50" t="s">
        <v>215</v>
      </c>
      <c r="C97" s="323"/>
      <c r="D97" s="323">
        <v>41</v>
      </c>
      <c r="E97" s="323"/>
      <c r="F97" s="323"/>
      <c r="G97" s="323"/>
      <c r="H97" s="323"/>
      <c r="I97" s="323">
        <v>41</v>
      </c>
    </row>
    <row r="98" spans="2:9">
      <c r="B98" s="50" t="s">
        <v>213</v>
      </c>
      <c r="C98" s="323">
        <v>3</v>
      </c>
      <c r="D98" s="323">
        <v>6</v>
      </c>
      <c r="E98" s="323"/>
      <c r="F98" s="323"/>
      <c r="G98" s="323"/>
      <c r="H98" s="323"/>
      <c r="I98" s="323">
        <v>9</v>
      </c>
    </row>
    <row r="99" spans="2:9">
      <c r="B99" s="50" t="s">
        <v>212</v>
      </c>
      <c r="C99" s="323"/>
      <c r="D99" s="323">
        <v>17</v>
      </c>
      <c r="E99" s="323"/>
      <c r="F99" s="323"/>
      <c r="G99" s="323"/>
      <c r="H99" s="323"/>
      <c r="I99" s="323">
        <v>17</v>
      </c>
    </row>
    <row r="100" spans="2:9">
      <c r="B100" s="50" t="s">
        <v>217</v>
      </c>
      <c r="C100" s="323"/>
      <c r="D100" s="323">
        <v>17</v>
      </c>
      <c r="E100" s="323"/>
      <c r="F100" s="323"/>
      <c r="G100" s="323"/>
      <c r="H100" s="323"/>
      <c r="I100" s="323">
        <v>17</v>
      </c>
    </row>
    <row r="101" spans="2:9">
      <c r="B101" s="50" t="s">
        <v>218</v>
      </c>
      <c r="C101" s="323">
        <v>7</v>
      </c>
      <c r="D101" s="323">
        <v>14</v>
      </c>
      <c r="E101" s="323"/>
      <c r="F101" s="323"/>
      <c r="G101" s="323"/>
      <c r="H101" s="323"/>
      <c r="I101" s="323">
        <v>21</v>
      </c>
    </row>
    <row r="102" spans="2:9">
      <c r="B102" s="50" t="s">
        <v>219</v>
      </c>
      <c r="C102" s="323">
        <v>1</v>
      </c>
      <c r="D102" s="323">
        <v>17</v>
      </c>
      <c r="E102" s="323"/>
      <c r="F102" s="323"/>
      <c r="G102" s="323"/>
      <c r="H102" s="323"/>
      <c r="I102" s="323">
        <v>18</v>
      </c>
    </row>
    <row r="103" spans="2:9">
      <c r="B103" s="50" t="s">
        <v>214</v>
      </c>
      <c r="C103" s="323"/>
      <c r="D103" s="323">
        <v>7</v>
      </c>
      <c r="E103" s="323"/>
      <c r="F103" s="323"/>
      <c r="G103" s="323"/>
      <c r="H103" s="323"/>
      <c r="I103" s="323">
        <v>7</v>
      </c>
    </row>
    <row r="104" spans="2:9">
      <c r="B104" s="50" t="s">
        <v>1163</v>
      </c>
      <c r="C104" s="323">
        <v>12</v>
      </c>
      <c r="D104" s="323">
        <v>207</v>
      </c>
      <c r="E104" s="323">
        <v>7</v>
      </c>
      <c r="F104" s="323">
        <v>6</v>
      </c>
      <c r="G104" s="323">
        <v>55</v>
      </c>
      <c r="H104" s="323">
        <v>5</v>
      </c>
      <c r="I104" s="323">
        <v>292</v>
      </c>
    </row>
    <row r="107" spans="2:9">
      <c r="B107" s="49" t="s">
        <v>8</v>
      </c>
      <c r="C107" t="s" vm="1">
        <v>26</v>
      </c>
    </row>
    <row r="108" spans="2:9">
      <c r="B108" s="49" t="s">
        <v>9</v>
      </c>
      <c r="C108" t="s" vm="4">
        <v>1164</v>
      </c>
    </row>
    <row r="109" spans="2:9">
      <c r="B109" s="49" t="s">
        <v>10</v>
      </c>
      <c r="C109" t="s" vm="3">
        <v>40</v>
      </c>
    </row>
    <row r="111" spans="2:9">
      <c r="B111" s="49" t="s">
        <v>1167</v>
      </c>
      <c r="C111" t="s">
        <v>1165</v>
      </c>
    </row>
    <row r="112" spans="2:9">
      <c r="B112" s="50" t="s">
        <v>611</v>
      </c>
      <c r="C112" s="323">
        <v>12</v>
      </c>
    </row>
    <row r="113" spans="2:16">
      <c r="B113" s="50" t="s">
        <v>612</v>
      </c>
      <c r="C113" s="323">
        <v>207</v>
      </c>
    </row>
    <row r="114" spans="2:16">
      <c r="B114" s="50" t="s">
        <v>1863</v>
      </c>
      <c r="C114" s="323">
        <v>7</v>
      </c>
    </row>
    <row r="115" spans="2:16">
      <c r="B115" s="50" t="s">
        <v>613</v>
      </c>
      <c r="C115" s="323">
        <v>6</v>
      </c>
    </row>
    <row r="116" spans="2:16">
      <c r="B116" s="50" t="s">
        <v>614</v>
      </c>
      <c r="C116" s="323">
        <v>55</v>
      </c>
    </row>
    <row r="117" spans="2:16">
      <c r="B117" s="50" t="s">
        <v>28</v>
      </c>
      <c r="C117" s="323">
        <v>5</v>
      </c>
    </row>
    <row r="118" spans="2:16">
      <c r="B118" s="50" t="s">
        <v>1163</v>
      </c>
      <c r="C118" s="323">
        <v>292</v>
      </c>
    </row>
    <row r="126" spans="2:16" ht="22.2">
      <c r="B126" s="126" t="s">
        <v>1961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1165</v>
      </c>
      <c r="C133" s="49" t="s">
        <v>1166</v>
      </c>
    </row>
    <row r="134" spans="2:10">
      <c r="B134" s="49" t="s">
        <v>1167</v>
      </c>
      <c r="C134" t="s">
        <v>611</v>
      </c>
      <c r="D134" t="s">
        <v>612</v>
      </c>
      <c r="E134" t="s">
        <v>1863</v>
      </c>
      <c r="F134" t="s">
        <v>613</v>
      </c>
      <c r="G134" t="s">
        <v>614</v>
      </c>
      <c r="H134" t="s">
        <v>615</v>
      </c>
      <c r="I134" t="s">
        <v>28</v>
      </c>
      <c r="J134" t="s">
        <v>1163</v>
      </c>
    </row>
    <row r="135" spans="2:10">
      <c r="B135" s="50" t="s">
        <v>379</v>
      </c>
      <c r="C135" s="323"/>
      <c r="D135" s="323">
        <v>23</v>
      </c>
      <c r="E135" s="323"/>
      <c r="F135" s="323">
        <v>4</v>
      </c>
      <c r="G135" s="323"/>
      <c r="H135" s="323">
        <v>3</v>
      </c>
      <c r="I135" s="323">
        <v>16</v>
      </c>
      <c r="J135" s="323">
        <v>46</v>
      </c>
    </row>
    <row r="136" spans="2:10">
      <c r="B136" s="50" t="s">
        <v>335</v>
      </c>
      <c r="C136" s="323"/>
      <c r="D136" s="323">
        <v>59</v>
      </c>
      <c r="E136" s="323">
        <v>1</v>
      </c>
      <c r="F136" s="323">
        <v>3</v>
      </c>
      <c r="G136" s="323"/>
      <c r="H136" s="323"/>
      <c r="I136" s="323">
        <v>4</v>
      </c>
      <c r="J136" s="323">
        <v>67</v>
      </c>
    </row>
    <row r="137" spans="2:10">
      <c r="B137" s="50" t="s">
        <v>368</v>
      </c>
      <c r="C137" s="323">
        <v>4</v>
      </c>
      <c r="D137" s="323">
        <v>18</v>
      </c>
      <c r="E137" s="323"/>
      <c r="F137" s="323">
        <v>2</v>
      </c>
      <c r="G137" s="323"/>
      <c r="H137" s="323"/>
      <c r="I137" s="323">
        <v>23</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c r="I139" s="323">
        <v>2</v>
      </c>
      <c r="J139" s="323">
        <v>6</v>
      </c>
    </row>
    <row r="140" spans="2:10">
      <c r="B140" s="50" t="s">
        <v>1887</v>
      </c>
      <c r="C140" s="323"/>
      <c r="D140" s="323">
        <v>3</v>
      </c>
      <c r="E140" s="323"/>
      <c r="F140" s="323"/>
      <c r="G140" s="323">
        <v>1</v>
      </c>
      <c r="H140" s="323"/>
      <c r="I140" s="323">
        <v>7</v>
      </c>
      <c r="J140" s="323">
        <v>11</v>
      </c>
    </row>
    <row r="141" spans="2:10">
      <c r="B141" s="50" t="s">
        <v>392</v>
      </c>
      <c r="C141" s="323"/>
      <c r="D141" s="323">
        <v>9</v>
      </c>
      <c r="E141" s="323"/>
      <c r="F141" s="323"/>
      <c r="G141" s="323"/>
      <c r="H141" s="323"/>
      <c r="I141" s="323"/>
      <c r="J141" s="323">
        <v>9</v>
      </c>
    </row>
    <row r="142" spans="2:10">
      <c r="B142" s="50" t="s">
        <v>1888</v>
      </c>
      <c r="C142" s="323"/>
      <c r="D142" s="323">
        <v>15</v>
      </c>
      <c r="E142" s="323"/>
      <c r="F142" s="323"/>
      <c r="G142" s="323"/>
      <c r="H142" s="323"/>
      <c r="I142" s="323"/>
      <c r="J142" s="323">
        <v>15</v>
      </c>
    </row>
    <row r="143" spans="2:10">
      <c r="B143" s="50" t="s">
        <v>1163</v>
      </c>
      <c r="C143" s="323">
        <v>4</v>
      </c>
      <c r="D143" s="323">
        <v>136</v>
      </c>
      <c r="E143" s="323">
        <v>1</v>
      </c>
      <c r="F143" s="323">
        <v>9</v>
      </c>
      <c r="G143" s="323">
        <v>1</v>
      </c>
      <c r="H143" s="323">
        <v>3</v>
      </c>
      <c r="I143" s="323">
        <v>52</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1167</v>
      </c>
      <c r="C154" t="s">
        <v>1165</v>
      </c>
    </row>
    <row r="155" spans="2:3">
      <c r="B155" s="50" t="s">
        <v>612</v>
      </c>
      <c r="C155" s="323">
        <v>136</v>
      </c>
    </row>
    <row r="156" spans="2:3">
      <c r="B156" s="50" t="s">
        <v>611</v>
      </c>
      <c r="C156" s="323">
        <v>4</v>
      </c>
    </row>
    <row r="157" spans="2:3">
      <c r="B157" s="50" t="s">
        <v>614</v>
      </c>
      <c r="C157" s="323">
        <v>1</v>
      </c>
    </row>
    <row r="158" spans="2:3">
      <c r="B158" s="50" t="s">
        <v>613</v>
      </c>
      <c r="C158" s="323">
        <v>9</v>
      </c>
    </row>
    <row r="159" spans="2:3">
      <c r="B159" s="50" t="s">
        <v>28</v>
      </c>
      <c r="C159" s="323">
        <v>52</v>
      </c>
    </row>
    <row r="160" spans="2:3">
      <c r="B160" s="50" t="s">
        <v>1863</v>
      </c>
      <c r="C160" s="323">
        <v>1</v>
      </c>
    </row>
    <row r="161" spans="2:3">
      <c r="B161" s="50" t="s">
        <v>615</v>
      </c>
      <c r="C161" s="323">
        <v>3</v>
      </c>
    </row>
    <row r="162" spans="2:3">
      <c r="B162" s="50" t="s">
        <v>1163</v>
      </c>
      <c r="C162" s="323">
        <v>206</v>
      </c>
    </row>
  </sheetData>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zoomScale="70" zoomScaleNormal="70" workbookViewId="0">
      <selection activeCell="I1418" sqref="B1418:X1419"/>
    </sheetView>
  </sheetViews>
  <sheetFormatPr defaultColWidth="0" defaultRowHeight="13.8"/>
  <cols>
    <col min="1" max="1" width="2.69921875" customWidth="1"/>
    <col min="2" max="2" width="13.59765625" customWidth="1"/>
    <col min="3" max="3" width="27.19921875" customWidth="1"/>
    <col min="4" max="4" width="42.19921875" customWidth="1"/>
    <col min="5"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 min="23" max="24" width="8.796875" customWidth="1"/>
    <col min="25" max="25" width="7" customWidth="1"/>
    <col min="46" max="16384" width="8.796875" hidden="1"/>
  </cols>
  <sheetData>
    <row r="1" spans="1:25" ht="16.2"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1168</v>
      </c>
      <c r="R7" t="s">
        <v>1169</v>
      </c>
    </row>
    <row r="8" spans="1:25" ht="15" customHeight="1">
      <c r="B8" s="197" t="s">
        <v>8</v>
      </c>
      <c r="C8" s="197" t="s">
        <v>9</v>
      </c>
      <c r="D8" s="196" t="s">
        <v>119</v>
      </c>
      <c r="E8" s="196" t="s">
        <v>1170</v>
      </c>
      <c r="F8" s="200" t="s">
        <v>11</v>
      </c>
      <c r="G8" s="196" t="s">
        <v>12</v>
      </c>
      <c r="H8" s="198" t="s">
        <v>667</v>
      </c>
      <c r="I8" s="199" t="s">
        <v>13</v>
      </c>
      <c r="J8" s="199" t="s">
        <v>14</v>
      </c>
      <c r="K8" s="196" t="s">
        <v>1171</v>
      </c>
      <c r="L8" s="196" t="s">
        <v>1172</v>
      </c>
      <c r="M8" s="196" t="s">
        <v>1173</v>
      </c>
      <c r="N8" s="196" t="s">
        <v>1174</v>
      </c>
      <c r="O8" s="196" t="s">
        <v>1175</v>
      </c>
      <c r="P8" s="196" t="s">
        <v>1176</v>
      </c>
      <c r="Q8" s="196" t="s">
        <v>1177</v>
      </c>
      <c r="R8" s="196" t="s">
        <v>1178</v>
      </c>
      <c r="S8" s="196" t="s">
        <v>1179</v>
      </c>
      <c r="T8" s="196" t="s">
        <v>1180</v>
      </c>
      <c r="U8" s="196" t="s">
        <v>1181</v>
      </c>
      <c r="V8" s="196" t="s">
        <v>1182</v>
      </c>
      <c r="W8" s="196" t="s">
        <v>17</v>
      </c>
      <c r="X8" s="196" t="s">
        <v>1183</v>
      </c>
    </row>
    <row r="9" spans="1:25" ht="17.7" hidden="1" customHeight="1">
      <c r="B9" s="2" t="s">
        <v>26</v>
      </c>
      <c r="C9" s="2" t="s">
        <v>34</v>
      </c>
      <c r="D9" s="2" t="s">
        <v>1197</v>
      </c>
      <c r="E9" s="2" t="s">
        <v>38</v>
      </c>
      <c r="F9" s="2" t="s">
        <v>37</v>
      </c>
      <c r="G9" s="2" t="s">
        <v>38</v>
      </c>
      <c r="H9" s="56" t="str">
        <f>Table1[[#This Row],[Tabela]]&amp;Table1[[#This Row],[Campo]]</f>
        <v>ENERGY_CERTIFICATE_EST_INPUTn.a.</v>
      </c>
      <c r="I9" s="2" t="s">
        <v>617</v>
      </c>
      <c r="J9" s="42">
        <f>VLOOKUP(Table1[[#This Row],[Status]],Auxiliar!$B$16:$C$24,2,0)</f>
        <v>7</v>
      </c>
      <c r="K9" s="2" t="s">
        <v>1184</v>
      </c>
      <c r="L9" s="2" t="s">
        <v>1193</v>
      </c>
      <c r="M9" s="20" t="s">
        <v>1194</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7" hidden="1" customHeight="1">
      <c r="B10" s="2" t="s">
        <v>26</v>
      </c>
      <c r="C10" s="2" t="s">
        <v>34</v>
      </c>
      <c r="D10" s="2" t="s">
        <v>1197</v>
      </c>
      <c r="E10" s="2" t="s">
        <v>38</v>
      </c>
      <c r="F10" s="2" t="s">
        <v>37</v>
      </c>
      <c r="G10" s="134" t="s">
        <v>2021</v>
      </c>
      <c r="H10" s="56" t="str">
        <f>Table1[[#This Row],[Tabela]]&amp;Table1[[#This Row],[Campo]]</f>
        <v>ENERGY_CERTIFICATE_EST_INPUTCHAVE_GLOVAL</v>
      </c>
      <c r="I10" s="2" t="s">
        <v>617</v>
      </c>
      <c r="J10" s="42">
        <f>VLOOKUP(Table1[[#This Row],[Status]],Auxiliar!$B$16:$C$24,2,0)</f>
        <v>7</v>
      </c>
      <c r="K10" s="2" t="s">
        <v>1190</v>
      </c>
      <c r="L10" s="28" t="s">
        <v>1185</v>
      </c>
      <c r="M10" s="20" t="s">
        <v>1194</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7" hidden="1" customHeight="1">
      <c r="B11" s="2" t="s">
        <v>26</v>
      </c>
      <c r="C11" s="2" t="s">
        <v>34</v>
      </c>
      <c r="D11" s="2" t="s">
        <v>1197</v>
      </c>
      <c r="E11" s="2" t="s">
        <v>38</v>
      </c>
      <c r="F11" s="2" t="s">
        <v>37</v>
      </c>
      <c r="G11" s="134" t="s">
        <v>41</v>
      </c>
      <c r="H11" s="56" t="str">
        <f>Table1[[#This Row],[Tabela]]&amp;Table1[[#This Row],[Campo]]</f>
        <v>ENERGY_CERTIFICATE_EST_INPUTPROPERTY_BANK_ID</v>
      </c>
      <c r="I11" s="2" t="s">
        <v>617</v>
      </c>
      <c r="J11" s="42">
        <f>VLOOKUP(Table1[[#This Row],[Status]],Auxiliar!$B$16:$C$24,2,0)</f>
        <v>7</v>
      </c>
      <c r="K11" s="2" t="s">
        <v>1190</v>
      </c>
      <c r="L11" s="28" t="s">
        <v>1185</v>
      </c>
      <c r="M11" s="20" t="s">
        <v>1194</v>
      </c>
      <c r="N11" s="47">
        <v>45688</v>
      </c>
      <c r="O11" s="20">
        <f>INDEX(Auxiliar!$D$5:$F$13,MATCH(Table1[[#This Row],[Tipologia_Testes]],Auxiliar!$B$5:$B$13,0),MATCH(Table1[[#This Row],[Complexidade]],Auxiliar!$D$4:$F$4,0))</f>
        <v>0.1</v>
      </c>
      <c r="P11" s="2" t="s">
        <v>1199</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1197</v>
      </c>
      <c r="E12" s="2" t="s">
        <v>38</v>
      </c>
      <c r="F12" s="2" t="s">
        <v>37</v>
      </c>
      <c r="G12" s="134" t="s">
        <v>43</v>
      </c>
      <c r="H12" s="56" t="str">
        <f>Table1[[#This Row],[Tabela]]&amp;Table1[[#This Row],[Campo]]</f>
        <v>ENERGY_CERTIFICATE_EST_INPUTPROPERTY_BRANCH_CODE</v>
      </c>
      <c r="I12" s="2" t="s">
        <v>617</v>
      </c>
      <c r="J12" s="42">
        <f>VLOOKUP(Table1[[#This Row],[Status]],Auxiliar!$B$16:$C$24,2,0)</f>
        <v>7</v>
      </c>
      <c r="K12" s="2" t="s">
        <v>1190</v>
      </c>
      <c r="L12" s="28" t="s">
        <v>1185</v>
      </c>
      <c r="M12" s="20" t="s">
        <v>1194</v>
      </c>
      <c r="N12" s="47">
        <v>45688</v>
      </c>
      <c r="O12" s="20">
        <f>INDEX(Auxiliar!$D$5:$F$13,MATCH(Table1[[#This Row],[Tipologia_Testes]],Auxiliar!$B$5:$B$13,0),MATCH(Table1[[#This Row],[Complexidade]],Auxiliar!$D$4:$F$4,0))</f>
        <v>0.1</v>
      </c>
      <c r="P12" s="48" t="s">
        <v>1200</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1197</v>
      </c>
      <c r="E13" s="2" t="s">
        <v>38</v>
      </c>
      <c r="F13" s="2" t="s">
        <v>37</v>
      </c>
      <c r="G13" s="134" t="s">
        <v>44</v>
      </c>
      <c r="H13" s="56" t="str">
        <f>Table1[[#This Row],[Tabela]]&amp;Table1[[#This Row],[Campo]]</f>
        <v>ENERGY_CERTIFICATE_EST_INPUTPROPERTY_CONTRACT_ID</v>
      </c>
      <c r="I13" s="2" t="s">
        <v>617</v>
      </c>
      <c r="J13" s="42">
        <f>VLOOKUP(Table1[[#This Row],[Status]],Auxiliar!$B$16:$C$24,2,0)</f>
        <v>7</v>
      </c>
      <c r="K13" s="2" t="s">
        <v>1190</v>
      </c>
      <c r="L13" s="28" t="s">
        <v>1185</v>
      </c>
      <c r="M13" s="20" t="s">
        <v>1194</v>
      </c>
      <c r="N13" s="47">
        <v>45688</v>
      </c>
      <c r="O13" s="20">
        <f>INDEX(Auxiliar!$D$5:$F$13,MATCH(Table1[[#This Row],[Tipologia_Testes]],Auxiliar!$B$5:$B$13,0),MATCH(Table1[[#This Row],[Complexidade]],Auxiliar!$D$4:$F$4,0))</f>
        <v>0.1</v>
      </c>
      <c r="P13" s="48" t="s">
        <v>1200</v>
      </c>
      <c r="Q13" s="32"/>
      <c r="R13" s="151">
        <v>45261</v>
      </c>
      <c r="S13" s="151"/>
      <c r="T13" s="151">
        <v>45510</v>
      </c>
      <c r="U13" s="151">
        <v>45624</v>
      </c>
      <c r="V13" s="151"/>
      <c r="W13" s="2">
        <f>VLOOKUP(Table1[[#This Row],[Status]],Auxiliar!$B$16:$D$24,3,0)*Table1[[#This Row],[Estimação (horas)]]</f>
        <v>2.5000000000000001E-2</v>
      </c>
      <c r="X13" s="168"/>
      <c r="Y13" s="171"/>
    </row>
    <row r="14" spans="1:25" ht="17.7" hidden="1" customHeight="1">
      <c r="B14" s="2" t="s">
        <v>26</v>
      </c>
      <c r="C14" s="2" t="s">
        <v>34</v>
      </c>
      <c r="D14" s="2" t="s">
        <v>1197</v>
      </c>
      <c r="E14" s="2" t="s">
        <v>38</v>
      </c>
      <c r="F14" s="2" t="s">
        <v>37</v>
      </c>
      <c r="G14" s="134" t="s">
        <v>45</v>
      </c>
      <c r="H14" s="56" t="str">
        <f>Table1[[#This Row],[Tabela]]&amp;Table1[[#This Row],[Campo]]</f>
        <v>ENERGY_CERTIFICATE_EST_INPUTPROPERTY_REFERENCE_CODE</v>
      </c>
      <c r="I14" s="2" t="s">
        <v>617</v>
      </c>
      <c r="J14" s="42">
        <f>VLOOKUP(Table1[[#This Row],[Status]],Auxiliar!$B$16:$C$24,2,0)</f>
        <v>7</v>
      </c>
      <c r="K14" s="2" t="s">
        <v>1190</v>
      </c>
      <c r="L14" s="28" t="s">
        <v>1185</v>
      </c>
      <c r="M14" s="20" t="s">
        <v>1194</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7" hidden="1" customHeight="1">
      <c r="B15" s="2" t="s">
        <v>26</v>
      </c>
      <c r="C15" s="2" t="s">
        <v>34</v>
      </c>
      <c r="D15" s="2" t="s">
        <v>1197</v>
      </c>
      <c r="E15" s="2" t="s">
        <v>38</v>
      </c>
      <c r="F15" s="2" t="s">
        <v>37</v>
      </c>
      <c r="G15" s="134" t="s">
        <v>2022</v>
      </c>
      <c r="H15" s="56" t="str">
        <f>Table1[[#This Row],[Tabela]]&amp;Table1[[#This Row],[Campo]]</f>
        <v>ENERGY_CERTIFICATE_EST_INPUTCÓDIGO_DISTRITO</v>
      </c>
      <c r="I15" s="2" t="s">
        <v>617</v>
      </c>
      <c r="J15" s="42">
        <f>VLOOKUP(Table1[[#This Row],[Status]],Auxiliar!$B$16:$C$24,2,0)</f>
        <v>7</v>
      </c>
      <c r="K15" s="2" t="s">
        <v>1190</v>
      </c>
      <c r="L15" s="28" t="s">
        <v>1185</v>
      </c>
      <c r="M15" s="20" t="s">
        <v>1194</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7" hidden="1" customHeight="1">
      <c r="B16" s="2" t="s">
        <v>26</v>
      </c>
      <c r="C16" s="2" t="s">
        <v>34</v>
      </c>
      <c r="D16" s="2" t="s">
        <v>1197</v>
      </c>
      <c r="E16" s="2" t="s">
        <v>38</v>
      </c>
      <c r="F16" s="2" t="s">
        <v>37</v>
      </c>
      <c r="G16" s="134" t="s">
        <v>2023</v>
      </c>
      <c r="H16" s="56" t="str">
        <f>Table1[[#This Row],[Tabela]]&amp;Table1[[#This Row],[Campo]]</f>
        <v>ENERGY_CERTIFICATE_EST_INPUTNOMBRE_DISTRITO</v>
      </c>
      <c r="I16" s="2" t="s">
        <v>617</v>
      </c>
      <c r="J16" s="42">
        <f>VLOOKUP(Table1[[#This Row],[Status]],Auxiliar!$B$16:$C$24,2,0)</f>
        <v>7</v>
      </c>
      <c r="K16" s="2" t="s">
        <v>1190</v>
      </c>
      <c r="L16" s="28" t="s">
        <v>1185</v>
      </c>
      <c r="M16" s="20" t="s">
        <v>1194</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7" hidden="1" customHeight="1">
      <c r="B17" s="2" t="s">
        <v>26</v>
      </c>
      <c r="C17" s="2" t="s">
        <v>34</v>
      </c>
      <c r="D17" s="2" t="s">
        <v>1197</v>
      </c>
      <c r="E17" s="2" t="s">
        <v>38</v>
      </c>
      <c r="F17" s="2" t="s">
        <v>37</v>
      </c>
      <c r="G17" s="134" t="s">
        <v>2024</v>
      </c>
      <c r="H17" s="56" t="str">
        <f>Table1[[#This Row],[Tabela]]&amp;Table1[[#This Row],[Campo]]</f>
        <v>ENERGY_CERTIFICATE_EST_INPUTCÓDIGO_CONCEJO</v>
      </c>
      <c r="I17" s="2" t="s">
        <v>617</v>
      </c>
      <c r="J17" s="42">
        <f>VLOOKUP(Table1[[#This Row],[Status]],Auxiliar!$B$16:$C$24,2,0)</f>
        <v>7</v>
      </c>
      <c r="K17" s="2" t="s">
        <v>1190</v>
      </c>
      <c r="L17" s="28" t="s">
        <v>1185</v>
      </c>
      <c r="M17" s="20" t="s">
        <v>1194</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7" hidden="1" customHeight="1">
      <c r="B18" s="2" t="s">
        <v>26</v>
      </c>
      <c r="C18" s="2" t="s">
        <v>34</v>
      </c>
      <c r="D18" s="2" t="s">
        <v>1197</v>
      </c>
      <c r="E18" s="2" t="s">
        <v>38</v>
      </c>
      <c r="F18" s="2" t="s">
        <v>37</v>
      </c>
      <c r="G18" s="134" t="s">
        <v>2025</v>
      </c>
      <c r="H18" s="56" t="str">
        <f>Table1[[#This Row],[Tabela]]&amp;Table1[[#This Row],[Campo]]</f>
        <v>ENERGY_CERTIFICATE_EST_INPUTNOMBRE_CONCEJO</v>
      </c>
      <c r="I18" s="2" t="s">
        <v>617</v>
      </c>
      <c r="J18" s="42">
        <f>VLOOKUP(Table1[[#This Row],[Status]],Auxiliar!$B$16:$C$24,2,0)</f>
        <v>7</v>
      </c>
      <c r="K18" s="2" t="s">
        <v>1190</v>
      </c>
      <c r="L18" s="28" t="s">
        <v>1185</v>
      </c>
      <c r="M18" s="20" t="s">
        <v>1194</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7" hidden="1" customHeight="1">
      <c r="B19" s="2" t="s">
        <v>26</v>
      </c>
      <c r="C19" s="2" t="s">
        <v>34</v>
      </c>
      <c r="D19" s="2" t="s">
        <v>1197</v>
      </c>
      <c r="E19" s="2" t="s">
        <v>38</v>
      </c>
      <c r="F19" s="2" t="s">
        <v>37</v>
      </c>
      <c r="G19" s="134" t="s">
        <v>2026</v>
      </c>
      <c r="H19" s="56" t="str">
        <f>Table1[[#This Row],[Tabela]]&amp;Table1[[#This Row],[Campo]]</f>
        <v>ENERGY_CERTIFICATE_EST_INPUTCÓDIGO_FREGUESIA</v>
      </c>
      <c r="I19" s="2" t="s">
        <v>617</v>
      </c>
      <c r="J19" s="42">
        <f>VLOOKUP(Table1[[#This Row],[Status]],Auxiliar!$B$16:$C$24,2,0)</f>
        <v>7</v>
      </c>
      <c r="K19" s="2" t="s">
        <v>1190</v>
      </c>
      <c r="L19" s="28" t="s">
        <v>1185</v>
      </c>
      <c r="M19" s="20" t="s">
        <v>1194</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7" hidden="1" customHeight="1">
      <c r="B20" s="2" t="s">
        <v>26</v>
      </c>
      <c r="C20" s="2" t="s">
        <v>34</v>
      </c>
      <c r="D20" s="2" t="s">
        <v>1197</v>
      </c>
      <c r="E20" s="2" t="s">
        <v>38</v>
      </c>
      <c r="F20" s="2" t="s">
        <v>37</v>
      </c>
      <c r="G20" s="134" t="s">
        <v>2027</v>
      </c>
      <c r="H20" s="56" t="str">
        <f>Table1[[#This Row],[Tabela]]&amp;Table1[[#This Row],[Campo]]</f>
        <v>ENERGY_CERTIFICATE_EST_INPUTNOMBRE_FREGUESIA</v>
      </c>
      <c r="I20" s="2" t="s">
        <v>617</v>
      </c>
      <c r="J20" s="42">
        <f>VLOOKUP(Table1[[#This Row],[Status]],Auxiliar!$B$16:$C$24,2,0)</f>
        <v>7</v>
      </c>
      <c r="K20" s="2" t="s">
        <v>1190</v>
      </c>
      <c r="L20" s="28" t="s">
        <v>1185</v>
      </c>
      <c r="M20" s="20" t="s">
        <v>1194</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7" hidden="1" customHeight="1">
      <c r="B21" s="2" t="s">
        <v>26</v>
      </c>
      <c r="C21" s="2" t="s">
        <v>34</v>
      </c>
      <c r="D21" s="2" t="s">
        <v>1197</v>
      </c>
      <c r="E21" s="2" t="s">
        <v>38</v>
      </c>
      <c r="F21" s="2" t="s">
        <v>37</v>
      </c>
      <c r="G21" s="134" t="s">
        <v>2028</v>
      </c>
      <c r="H21" s="56" t="str">
        <f>Table1[[#This Row],[Tabela]]&amp;Table1[[#This Row],[Campo]]</f>
        <v>ENERGY_CERTIFICATE_EST_INPUTLOCALIDADE</v>
      </c>
      <c r="I21" s="2" t="s">
        <v>617</v>
      </c>
      <c r="J21" s="42">
        <f>VLOOKUP(Table1[[#This Row],[Status]],Auxiliar!$B$16:$C$24,2,0)</f>
        <v>7</v>
      </c>
      <c r="K21" s="2" t="s">
        <v>1190</v>
      </c>
      <c r="L21" s="28" t="s">
        <v>1185</v>
      </c>
      <c r="M21" s="20" t="s">
        <v>1194</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7" hidden="1" customHeight="1">
      <c r="B22" s="2" t="s">
        <v>26</v>
      </c>
      <c r="C22" s="2" t="s">
        <v>34</v>
      </c>
      <c r="D22" s="2" t="s">
        <v>1197</v>
      </c>
      <c r="E22" s="2" t="s">
        <v>38</v>
      </c>
      <c r="F22" s="2" t="s">
        <v>37</v>
      </c>
      <c r="G22" s="134" t="s">
        <v>2029</v>
      </c>
      <c r="H22" s="56" t="str">
        <f>Table1[[#This Row],[Tabela]]&amp;Table1[[#This Row],[Campo]]</f>
        <v>ENERGY_CERTIFICATE_EST_INPUTTIPO_VIA</v>
      </c>
      <c r="I22" s="2" t="s">
        <v>617</v>
      </c>
      <c r="J22" s="42">
        <f>VLOOKUP(Table1[[#This Row],[Status]],Auxiliar!$B$16:$C$24,2,0)</f>
        <v>7</v>
      </c>
      <c r="K22" s="2" t="s">
        <v>1190</v>
      </c>
      <c r="L22" s="28" t="s">
        <v>1185</v>
      </c>
      <c r="M22" s="20" t="s">
        <v>1194</v>
      </c>
      <c r="N22" s="47">
        <v>45688</v>
      </c>
      <c r="O22" s="20">
        <f>INDEX(Auxiliar!$D$5:$F$13,MATCH(Table1[[#This Row],[Tipologia_Testes]],Auxiliar!$B$5:$B$13,0),MATCH(Table1[[#This Row],[Complexidade]],Auxiliar!$D$4:$F$4,0))</f>
        <v>0.1</v>
      </c>
      <c r="P22" s="2" t="s">
        <v>1201</v>
      </c>
      <c r="Q22" s="2"/>
      <c r="R22" s="151">
        <v>45261</v>
      </c>
      <c r="S22" s="151"/>
      <c r="T22" s="151">
        <v>45510</v>
      </c>
      <c r="U22" s="151">
        <v>45624</v>
      </c>
      <c r="V22" s="151"/>
      <c r="W22" s="2">
        <f>VLOOKUP(Table1[[#This Row],[Status]],Auxiliar!$B$16:$D$24,3,0)*Table1[[#This Row],[Estimação (horas)]]</f>
        <v>2.5000000000000001E-2</v>
      </c>
      <c r="X22" s="167"/>
      <c r="Y22" s="170"/>
    </row>
    <row r="23" spans="2:25" ht="17.7" hidden="1" customHeight="1">
      <c r="B23" s="2" t="s">
        <v>26</v>
      </c>
      <c r="C23" s="2" t="s">
        <v>34</v>
      </c>
      <c r="D23" s="2" t="s">
        <v>1197</v>
      </c>
      <c r="E23" s="2" t="s">
        <v>38</v>
      </c>
      <c r="F23" s="2" t="s">
        <v>37</v>
      </c>
      <c r="G23" s="134" t="s">
        <v>2030</v>
      </c>
      <c r="H23" s="56" t="str">
        <f>Table1[[#This Row],[Tabela]]&amp;Table1[[#This Row],[Campo]]</f>
        <v>ENERGY_CERTIFICATE_EST_INPUTNOMBRE_TIPO_VIA</v>
      </c>
      <c r="I23" s="2" t="s">
        <v>617</v>
      </c>
      <c r="J23" s="42">
        <f>VLOOKUP(Table1[[#This Row],[Status]],Auxiliar!$B$16:$C$24,2,0)</f>
        <v>7</v>
      </c>
      <c r="K23" s="2" t="s">
        <v>1190</v>
      </c>
      <c r="L23" s="28" t="s">
        <v>1185</v>
      </c>
      <c r="M23" s="20" t="s">
        <v>1194</v>
      </c>
      <c r="N23" s="47">
        <v>45688</v>
      </c>
      <c r="O23" s="20">
        <f>INDEX(Auxiliar!$D$5:$F$13,MATCH(Table1[[#This Row],[Tipologia_Testes]],Auxiliar!$B$5:$B$13,0),MATCH(Table1[[#This Row],[Complexidade]],Auxiliar!$D$4:$F$4,0))</f>
        <v>0.1</v>
      </c>
      <c r="P23" s="2" t="s">
        <v>1201</v>
      </c>
      <c r="Q23" s="2"/>
      <c r="R23" s="151">
        <v>45261</v>
      </c>
      <c r="S23" s="151"/>
      <c r="T23" s="151">
        <v>45510</v>
      </c>
      <c r="U23" s="151">
        <v>45624</v>
      </c>
      <c r="V23" s="151"/>
      <c r="W23" s="2">
        <f>VLOOKUP(Table1[[#This Row],[Status]],Auxiliar!$B$16:$D$24,3,0)*Table1[[#This Row],[Estimação (horas)]]</f>
        <v>2.5000000000000001E-2</v>
      </c>
      <c r="X23" s="167"/>
      <c r="Y23" s="170"/>
    </row>
    <row r="24" spans="2:25" ht="17.7" hidden="1" customHeight="1">
      <c r="B24" s="2" t="s">
        <v>26</v>
      </c>
      <c r="C24" s="2" t="s">
        <v>34</v>
      </c>
      <c r="D24" s="2" t="s">
        <v>1197</v>
      </c>
      <c r="E24" s="2" t="s">
        <v>38</v>
      </c>
      <c r="F24" s="2" t="s">
        <v>37</v>
      </c>
      <c r="G24" s="134" t="s">
        <v>2031</v>
      </c>
      <c r="H24" s="56" t="str">
        <f>Table1[[#This Row],[Tabela]]&amp;Table1[[#This Row],[Campo]]</f>
        <v>ENERGY_CERTIFICATE_EST_INPUTNOMBRE_VIA</v>
      </c>
      <c r="I24" s="2" t="s">
        <v>617</v>
      </c>
      <c r="J24" s="42">
        <f>VLOOKUP(Table1[[#This Row],[Status]],Auxiliar!$B$16:$C$24,2,0)</f>
        <v>7</v>
      </c>
      <c r="K24" s="2" t="s">
        <v>1190</v>
      </c>
      <c r="L24" s="28" t="s">
        <v>1185</v>
      </c>
      <c r="M24" s="20" t="s">
        <v>1194</v>
      </c>
      <c r="N24" s="47">
        <v>45688</v>
      </c>
      <c r="O24" s="20">
        <f>INDEX(Auxiliar!$D$5:$F$13,MATCH(Table1[[#This Row],[Tipologia_Testes]],Auxiliar!$B$5:$B$13,0),MATCH(Table1[[#This Row],[Complexidade]],Auxiliar!$D$4:$F$4,0))</f>
        <v>0.1</v>
      </c>
      <c r="P24" s="48" t="s">
        <v>1202</v>
      </c>
      <c r="Q24" s="32"/>
      <c r="R24" s="151">
        <v>45261</v>
      </c>
      <c r="S24" s="151"/>
      <c r="T24" s="151">
        <v>45510</v>
      </c>
      <c r="U24" s="151">
        <v>45624</v>
      </c>
      <c r="V24" s="151"/>
      <c r="W24" s="2">
        <f>VLOOKUP(Table1[[#This Row],[Status]],Auxiliar!$B$16:$D$24,3,0)*Table1[[#This Row],[Estimação (horas)]]</f>
        <v>2.5000000000000001E-2</v>
      </c>
      <c r="X24" s="168"/>
      <c r="Y24" s="171"/>
    </row>
    <row r="25" spans="2:25" ht="17.7" hidden="1" customHeight="1">
      <c r="B25" s="2" t="s">
        <v>26</v>
      </c>
      <c r="C25" s="2" t="s">
        <v>34</v>
      </c>
      <c r="D25" s="2" t="s">
        <v>1197</v>
      </c>
      <c r="E25" s="2" t="s">
        <v>38</v>
      </c>
      <c r="F25" s="2" t="s">
        <v>37</v>
      </c>
      <c r="G25" s="134" t="s">
        <v>2032</v>
      </c>
      <c r="H25" s="56" t="str">
        <f>Table1[[#This Row],[Tabela]]&amp;Table1[[#This Row],[Campo]]</f>
        <v>ENERGY_CERTIFICATE_EST_INPUTNUMERO_VIA</v>
      </c>
      <c r="I25" s="2" t="s">
        <v>617</v>
      </c>
      <c r="J25" s="42">
        <f>VLOOKUP(Table1[[#This Row],[Status]],Auxiliar!$B$16:$C$24,2,0)</f>
        <v>7</v>
      </c>
      <c r="K25" s="2" t="s">
        <v>1190</v>
      </c>
      <c r="L25" s="28" t="s">
        <v>1185</v>
      </c>
      <c r="M25" s="20" t="s">
        <v>1194</v>
      </c>
      <c r="N25" s="47">
        <v>45688</v>
      </c>
      <c r="O25" s="20">
        <f>INDEX(Auxiliar!$D$5:$F$13,MATCH(Table1[[#This Row],[Tipologia_Testes]],Auxiliar!$B$5:$B$13,0),MATCH(Table1[[#This Row],[Complexidade]],Auxiliar!$D$4:$F$4,0))</f>
        <v>0.1</v>
      </c>
      <c r="P25" s="48" t="s">
        <v>1202</v>
      </c>
      <c r="Q25" s="32"/>
      <c r="R25" s="151">
        <v>45261</v>
      </c>
      <c r="S25" s="151"/>
      <c r="T25" s="151">
        <v>45510</v>
      </c>
      <c r="U25" s="151">
        <v>45624</v>
      </c>
      <c r="V25" s="151"/>
      <c r="W25" s="2">
        <f>VLOOKUP(Table1[[#This Row],[Status]],Auxiliar!$B$16:$D$24,3,0)*Table1[[#This Row],[Estimação (horas)]]</f>
        <v>2.5000000000000001E-2</v>
      </c>
      <c r="X25" s="168"/>
      <c r="Y25" s="171"/>
    </row>
    <row r="26" spans="2:25" ht="17.7" hidden="1" customHeight="1">
      <c r="B26" s="2" t="s">
        <v>26</v>
      </c>
      <c r="C26" s="2" t="s">
        <v>34</v>
      </c>
      <c r="D26" s="2" t="s">
        <v>1197</v>
      </c>
      <c r="E26" s="2" t="s">
        <v>38</v>
      </c>
      <c r="F26" s="2" t="s">
        <v>37</v>
      </c>
      <c r="G26" s="134" t="s">
        <v>2033</v>
      </c>
      <c r="H26" s="56" t="str">
        <f>Table1[[#This Row],[Tabela]]&amp;Table1[[#This Row],[Campo]]</f>
        <v>ENERGY_CERTIFICATE_EST_INPUTLOTE</v>
      </c>
      <c r="I26" s="2" t="s">
        <v>617</v>
      </c>
      <c r="J26" s="42">
        <f>VLOOKUP(Table1[[#This Row],[Status]],Auxiliar!$B$16:$C$24,2,0)</f>
        <v>7</v>
      </c>
      <c r="K26" s="2" t="s">
        <v>1190</v>
      </c>
      <c r="L26" s="28" t="s">
        <v>1185</v>
      </c>
      <c r="M26" s="20" t="s">
        <v>1194</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7" hidden="1" customHeight="1">
      <c r="B27" s="2" t="s">
        <v>26</v>
      </c>
      <c r="C27" s="2" t="s">
        <v>34</v>
      </c>
      <c r="D27" s="2" t="s">
        <v>1197</v>
      </c>
      <c r="E27" s="2" t="s">
        <v>38</v>
      </c>
      <c r="F27" s="2" t="s">
        <v>37</v>
      </c>
      <c r="G27" s="134" t="s">
        <v>2034</v>
      </c>
      <c r="H27" s="56" t="str">
        <f>Table1[[#This Row],[Tabela]]&amp;Table1[[#This Row],[Campo]]</f>
        <v>ENERGY_CERTIFICATE_EST_INPUTURBANIZACION</v>
      </c>
      <c r="I27" s="2" t="s">
        <v>617</v>
      </c>
      <c r="J27" s="42">
        <f>VLOOKUP(Table1[[#This Row],[Status]],Auxiliar!$B$16:$C$24,2,0)</f>
        <v>7</v>
      </c>
      <c r="K27" s="2" t="s">
        <v>1190</v>
      </c>
      <c r="L27" s="28" t="s">
        <v>1185</v>
      </c>
      <c r="M27" s="20" t="s">
        <v>1194</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7" hidden="1" customHeight="1">
      <c r="B28" s="2" t="s">
        <v>26</v>
      </c>
      <c r="C28" s="2" t="s">
        <v>34</v>
      </c>
      <c r="D28" s="2" t="s">
        <v>1197</v>
      </c>
      <c r="E28" s="2" t="s">
        <v>38</v>
      </c>
      <c r="F28" s="2" t="s">
        <v>37</v>
      </c>
      <c r="G28" s="134" t="s">
        <v>2035</v>
      </c>
      <c r="H28" s="56" t="str">
        <f>Table1[[#This Row],[Tabela]]&amp;Table1[[#This Row],[Campo]]</f>
        <v>ENERGY_CERTIFICATE_EST_INPUTCAGLURB</v>
      </c>
      <c r="I28" s="2" t="s">
        <v>617</v>
      </c>
      <c r="J28" s="42">
        <f>VLOOKUP(Table1[[#This Row],[Status]],Auxiliar!$B$16:$C$24,2,0)</f>
        <v>7</v>
      </c>
      <c r="K28" s="2" t="s">
        <v>1190</v>
      </c>
      <c r="L28" s="28" t="s">
        <v>1185</v>
      </c>
      <c r="M28" s="20" t="s">
        <v>1194</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7" hidden="1" customHeight="1">
      <c r="B29" s="2" t="s">
        <v>26</v>
      </c>
      <c r="C29" s="2" t="s">
        <v>34</v>
      </c>
      <c r="D29" s="2" t="s">
        <v>1197</v>
      </c>
      <c r="E29" s="2" t="s">
        <v>38</v>
      </c>
      <c r="F29" s="2" t="s">
        <v>37</v>
      </c>
      <c r="G29" s="134" t="s">
        <v>2036</v>
      </c>
      <c r="H29" s="56" t="str">
        <f>Table1[[#This Row],[Tabela]]&amp;Table1[[#This Row],[Campo]]</f>
        <v>ENERGY_CERTIFICATE_EST_INPUTRESTO_DIRECCION</v>
      </c>
      <c r="I29" s="2" t="s">
        <v>617</v>
      </c>
      <c r="J29" s="42">
        <f>VLOOKUP(Table1[[#This Row],[Status]],Auxiliar!$B$16:$C$24,2,0)</f>
        <v>7</v>
      </c>
      <c r="K29" s="2" t="s">
        <v>1190</v>
      </c>
      <c r="L29" s="28" t="s">
        <v>1185</v>
      </c>
      <c r="M29" s="20" t="s">
        <v>1194</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7" hidden="1" customHeight="1">
      <c r="B30" s="2" t="s">
        <v>26</v>
      </c>
      <c r="C30" s="2" t="s">
        <v>34</v>
      </c>
      <c r="D30" s="2" t="s">
        <v>1197</v>
      </c>
      <c r="E30" s="2" t="s">
        <v>38</v>
      </c>
      <c r="F30" s="2" t="s">
        <v>37</v>
      </c>
      <c r="G30" s="134" t="s">
        <v>2037</v>
      </c>
      <c r="H30" s="56" t="str">
        <f>Table1[[#This Row],[Tabela]]&amp;Table1[[#This Row],[Campo]]</f>
        <v>ENERGY_CERTIFICATE_EST_INPUTLATITUDE</v>
      </c>
      <c r="I30" s="2" t="s">
        <v>617</v>
      </c>
      <c r="J30" s="42">
        <f>VLOOKUP(Table1[[#This Row],[Status]],Auxiliar!$B$16:$C$24,2,0)</f>
        <v>7</v>
      </c>
      <c r="K30" s="2" t="s">
        <v>1190</v>
      </c>
      <c r="L30" s="28" t="s">
        <v>1185</v>
      </c>
      <c r="M30" s="20" t="s">
        <v>1194</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7" hidden="1" customHeight="1">
      <c r="B31" s="2" t="s">
        <v>26</v>
      </c>
      <c r="C31" s="2" t="s">
        <v>34</v>
      </c>
      <c r="D31" s="2" t="s">
        <v>1197</v>
      </c>
      <c r="E31" s="2" t="s">
        <v>38</v>
      </c>
      <c r="F31" s="2" t="s">
        <v>37</v>
      </c>
      <c r="G31" s="134" t="s">
        <v>2038</v>
      </c>
      <c r="H31" s="56" t="str">
        <f>Table1[[#This Row],[Tabela]]&amp;Table1[[#This Row],[Campo]]</f>
        <v>ENERGY_CERTIFICATE_EST_INPUTLONGITUDE</v>
      </c>
      <c r="I31" s="2" t="s">
        <v>617</v>
      </c>
      <c r="J31" s="42">
        <f>VLOOKUP(Table1[[#This Row],[Status]],Auxiliar!$B$16:$C$24,2,0)</f>
        <v>7</v>
      </c>
      <c r="K31" s="2" t="s">
        <v>1190</v>
      </c>
      <c r="L31" s="28" t="s">
        <v>1185</v>
      </c>
      <c r="M31" s="20" t="s">
        <v>1194</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7" hidden="1" customHeight="1">
      <c r="B32" s="2" t="s">
        <v>26</v>
      </c>
      <c r="C32" s="2" t="s">
        <v>34</v>
      </c>
      <c r="D32" s="2" t="s">
        <v>1197</v>
      </c>
      <c r="E32" s="2" t="s">
        <v>38</v>
      </c>
      <c r="F32" s="2" t="s">
        <v>37</v>
      </c>
      <c r="G32" s="134" t="s">
        <v>2039</v>
      </c>
      <c r="H32" s="56" t="str">
        <f>Table1[[#This Row],[Tabela]]&amp;Table1[[#This Row],[Campo]]</f>
        <v>ENERGY_CERTIFICATE_EST_INPUTCODIGO_POSTAL</v>
      </c>
      <c r="I32" s="2" t="s">
        <v>617</v>
      </c>
      <c r="J32" s="42">
        <f>VLOOKUP(Table1[[#This Row],[Status]],Auxiliar!$B$16:$C$24,2,0)</f>
        <v>7</v>
      </c>
      <c r="K32" s="2" t="s">
        <v>1190</v>
      </c>
      <c r="L32" s="28" t="s">
        <v>1185</v>
      </c>
      <c r="M32" s="20" t="s">
        <v>1194</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7" hidden="1" customHeight="1">
      <c r="B33" s="2" t="s">
        <v>26</v>
      </c>
      <c r="C33" s="2" t="s">
        <v>34</v>
      </c>
      <c r="D33" s="2" t="s">
        <v>1197</v>
      </c>
      <c r="E33" s="2" t="s">
        <v>38</v>
      </c>
      <c r="F33" s="2" t="s">
        <v>37</v>
      </c>
      <c r="G33" s="134" t="s">
        <v>2040</v>
      </c>
      <c r="H33" s="56" t="str">
        <f>Table1[[#This Row],[Tabela]]&amp;Table1[[#This Row],[Campo]]</f>
        <v>ENERGY_CERTIFICATE_EST_INPUTSUBCODIGO_POSTAL</v>
      </c>
      <c r="I33" s="2" t="s">
        <v>617</v>
      </c>
      <c r="J33" s="42">
        <f>VLOOKUP(Table1[[#This Row],[Status]],Auxiliar!$B$16:$C$24,2,0)</f>
        <v>7</v>
      </c>
      <c r="K33" s="2" t="s">
        <v>1190</v>
      </c>
      <c r="L33" s="28" t="s">
        <v>1185</v>
      </c>
      <c r="M33" s="20" t="s">
        <v>1194</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7" hidden="1" customHeight="1">
      <c r="B34" s="2" t="s">
        <v>26</v>
      </c>
      <c r="C34" s="2" t="s">
        <v>34</v>
      </c>
      <c r="D34" s="2" t="s">
        <v>1197</v>
      </c>
      <c r="E34" s="2" t="s">
        <v>38</v>
      </c>
      <c r="F34" s="2" t="s">
        <v>37</v>
      </c>
      <c r="G34" s="134" t="s">
        <v>2041</v>
      </c>
      <c r="H34" s="56" t="str">
        <f>Table1[[#This Row],[Tabela]]&amp;Table1[[#This Row],[Campo]]</f>
        <v>ENERGY_CERTIFICATE_EST_INPUTASSUPERFICIE_UTIL</v>
      </c>
      <c r="I34" s="2" t="s">
        <v>617</v>
      </c>
      <c r="J34" s="42">
        <f>VLOOKUP(Table1[[#This Row],[Status]],Auxiliar!$B$16:$C$24,2,0)</f>
        <v>7</v>
      </c>
      <c r="K34" s="2" t="s">
        <v>1190</v>
      </c>
      <c r="L34" s="28" t="s">
        <v>1185</v>
      </c>
      <c r="M34" s="20" t="s">
        <v>1194</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7" hidden="1" customHeight="1">
      <c r="B35" s="2" t="s">
        <v>26</v>
      </c>
      <c r="C35" s="2" t="s">
        <v>34</v>
      </c>
      <c r="D35" s="2" t="s">
        <v>1197</v>
      </c>
      <c r="E35" s="2" t="s">
        <v>38</v>
      </c>
      <c r="F35" s="2" t="s">
        <v>37</v>
      </c>
      <c r="G35" s="134" t="s">
        <v>2042</v>
      </c>
      <c r="H35" s="56" t="str">
        <f>Table1[[#This Row],[Tabela]]&amp;Table1[[#This Row],[Campo]]</f>
        <v>ENERGY_CERTIFICATE_EST_INPUTANIO_CONSTRUCCION</v>
      </c>
      <c r="I35" s="2" t="s">
        <v>617</v>
      </c>
      <c r="J35" s="42">
        <f>VLOOKUP(Table1[[#This Row],[Status]],Auxiliar!$B$16:$C$24,2,0)</f>
        <v>7</v>
      </c>
      <c r="K35" s="2" t="s">
        <v>1190</v>
      </c>
      <c r="L35" s="28" t="s">
        <v>1185</v>
      </c>
      <c r="M35" s="20" t="s">
        <v>1194</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7" hidden="1" customHeight="1">
      <c r="B36" s="2" t="s">
        <v>26</v>
      </c>
      <c r="C36" s="2" t="s">
        <v>34</v>
      </c>
      <c r="D36" s="2" t="s">
        <v>1197</v>
      </c>
      <c r="E36" s="2" t="s">
        <v>38</v>
      </c>
      <c r="F36" s="2" t="s">
        <v>37</v>
      </c>
      <c r="G36" s="134" t="s">
        <v>2043</v>
      </c>
      <c r="H36" s="56" t="str">
        <f>Table1[[#This Row],[Tabela]]&amp;Table1[[#This Row],[Campo]]</f>
        <v>ENERGY_CERTIFICATE_EST_INPUTTIPO_INMUEBLE_HABITACAO</v>
      </c>
      <c r="I36" s="2" t="s">
        <v>617</v>
      </c>
      <c r="J36" s="42">
        <f>VLOOKUP(Table1[[#This Row],[Status]],Auxiliar!$B$16:$C$24,2,0)</f>
        <v>7</v>
      </c>
      <c r="K36" s="2" t="s">
        <v>1190</v>
      </c>
      <c r="L36" s="28" t="s">
        <v>1185</v>
      </c>
      <c r="M36" s="20" t="s">
        <v>1194</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7" hidden="1" customHeight="1">
      <c r="B37" s="2" t="s">
        <v>26</v>
      </c>
      <c r="C37" s="2" t="s">
        <v>34</v>
      </c>
      <c r="D37" s="2" t="s">
        <v>1197</v>
      </c>
      <c r="E37" s="2" t="s">
        <v>38</v>
      </c>
      <c r="F37" s="2" t="s">
        <v>37</v>
      </c>
      <c r="G37" s="134" t="s">
        <v>2044</v>
      </c>
      <c r="H37" s="56" t="str">
        <f>Table1[[#This Row],[Tabela]]&amp;Table1[[#This Row],[Campo]]</f>
        <v>ENERGY_CERTIFICATE_EST_INPUTPISO_APARTAMENTO</v>
      </c>
      <c r="I37" s="2" t="s">
        <v>617</v>
      </c>
      <c r="J37" s="42">
        <f>VLOOKUP(Table1[[#This Row],[Status]],Auxiliar!$B$16:$C$24,2,0)</f>
        <v>7</v>
      </c>
      <c r="K37" s="2" t="s">
        <v>1190</v>
      </c>
      <c r="L37" s="28" t="s">
        <v>1185</v>
      </c>
      <c r="M37" s="20" t="s">
        <v>1194</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7" hidden="1" customHeight="1">
      <c r="B38" s="2" t="s">
        <v>26</v>
      </c>
      <c r="C38" s="2" t="s">
        <v>34</v>
      </c>
      <c r="D38" s="2" t="s">
        <v>1197</v>
      </c>
      <c r="E38" s="2" t="s">
        <v>38</v>
      </c>
      <c r="F38" s="2" t="s">
        <v>37</v>
      </c>
      <c r="G38" s="134" t="s">
        <v>2045</v>
      </c>
      <c r="H38" s="56" t="str">
        <f>Table1[[#This Row],[Tabela]]&amp;Table1[[#This Row],[Campo]]</f>
        <v>ENERGY_CERTIFICATE_EST_INPUTCASA_UNIFAMILIAR</v>
      </c>
      <c r="I38" s="2" t="s">
        <v>617</v>
      </c>
      <c r="J38" s="42">
        <f>VLOOKUP(Table1[[#This Row],[Status]],Auxiliar!$B$16:$C$24,2,0)</f>
        <v>7</v>
      </c>
      <c r="K38" s="2" t="s">
        <v>1190</v>
      </c>
      <c r="L38" s="28" t="s">
        <v>1185</v>
      </c>
      <c r="M38" s="20" t="s">
        <v>1194</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7" hidden="1" customHeight="1">
      <c r="B39" s="2" t="s">
        <v>26</v>
      </c>
      <c r="C39" s="2" t="s">
        <v>34</v>
      </c>
      <c r="D39" s="2" t="s">
        <v>1197</v>
      </c>
      <c r="E39" s="2" t="s">
        <v>38</v>
      </c>
      <c r="F39" s="2" t="s">
        <v>37</v>
      </c>
      <c r="G39" s="134" t="s">
        <v>2046</v>
      </c>
      <c r="H39" s="56" t="str">
        <f>Table1[[#This Row],[Tabela]]&amp;Table1[[#This Row],[Campo]]</f>
        <v>ENERGY_CERTIFICATE_EST_INPUTTIPO_INMUEBLE_COMERCIO_SERVICOS</v>
      </c>
      <c r="I39" s="2" t="s">
        <v>617</v>
      </c>
      <c r="J39" s="42">
        <f>VLOOKUP(Table1[[#This Row],[Status]],Auxiliar!$B$16:$C$24,2,0)</f>
        <v>7</v>
      </c>
      <c r="K39" s="2" t="s">
        <v>1190</v>
      </c>
      <c r="L39" s="28" t="s">
        <v>1185</v>
      </c>
      <c r="M39" s="20" t="s">
        <v>1194</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7" hidden="1" customHeight="1">
      <c r="B40" s="2" t="s">
        <v>26</v>
      </c>
      <c r="C40" s="2" t="s">
        <v>34</v>
      </c>
      <c r="D40" s="2" t="s">
        <v>1197</v>
      </c>
      <c r="E40" s="2" t="s">
        <v>38</v>
      </c>
      <c r="F40" s="2" t="s">
        <v>37</v>
      </c>
      <c r="G40" s="134" t="s">
        <v>2047</v>
      </c>
      <c r="H40" s="56" t="str">
        <f>Table1[[#This Row],[Tabela]]&amp;Table1[[#This Row],[Campo]]</f>
        <v>ENERGY_CERTIFICATE_EST_INPUTNOME_CONSERVATORIA</v>
      </c>
      <c r="I40" s="2" t="s">
        <v>617</v>
      </c>
      <c r="J40" s="42">
        <f>VLOOKUP(Table1[[#This Row],[Status]],Auxiliar!$B$16:$C$24,2,0)</f>
        <v>7</v>
      </c>
      <c r="K40" s="2" t="s">
        <v>1190</v>
      </c>
      <c r="L40" s="28" t="s">
        <v>1185</v>
      </c>
      <c r="M40" s="20" t="s">
        <v>1194</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7" hidden="1" customHeight="1">
      <c r="B41" s="2" t="s">
        <v>26</v>
      </c>
      <c r="C41" s="2" t="s">
        <v>34</v>
      </c>
      <c r="D41" s="2" t="s">
        <v>1197</v>
      </c>
      <c r="E41" s="2" t="s">
        <v>38</v>
      </c>
      <c r="F41" s="2" t="s">
        <v>37</v>
      </c>
      <c r="G41" s="134" t="s">
        <v>2048</v>
      </c>
      <c r="H41" s="56" t="str">
        <f>Table1[[#This Row],[Tabela]]&amp;Table1[[#This Row],[Campo]]</f>
        <v>ENERGY_CERTIFICATE_EST_INPUTCOD_CONSERVATORIA</v>
      </c>
      <c r="I41" s="2" t="s">
        <v>617</v>
      </c>
      <c r="J41" s="42">
        <f>VLOOKUP(Table1[[#This Row],[Status]],Auxiliar!$B$16:$C$24,2,0)</f>
        <v>7</v>
      </c>
      <c r="K41" s="2" t="s">
        <v>1190</v>
      </c>
      <c r="L41" s="28" t="s">
        <v>1185</v>
      </c>
      <c r="M41" s="20" t="s">
        <v>1194</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7" hidden="1" customHeight="1">
      <c r="B42" s="2" t="s">
        <v>26</v>
      </c>
      <c r="C42" s="2" t="s">
        <v>34</v>
      </c>
      <c r="D42" s="2" t="s">
        <v>1197</v>
      </c>
      <c r="E42" s="2" t="s">
        <v>38</v>
      </c>
      <c r="F42" s="2" t="s">
        <v>37</v>
      </c>
      <c r="G42" s="134" t="s">
        <v>2049</v>
      </c>
      <c r="H42" s="56" t="str">
        <f>Table1[[#This Row],[Tabela]]&amp;Table1[[#This Row],[Campo]]</f>
        <v>ENERGY_CERTIFICATE_EST_INPUTREGISTRO_CONSERVATORIA</v>
      </c>
      <c r="I42" s="2" t="s">
        <v>617</v>
      </c>
      <c r="J42" s="42">
        <f>VLOOKUP(Table1[[#This Row],[Status]],Auxiliar!$B$16:$C$24,2,0)</f>
        <v>7</v>
      </c>
      <c r="K42" s="2" t="s">
        <v>1190</v>
      </c>
      <c r="L42" s="28" t="s">
        <v>1185</v>
      </c>
      <c r="M42" s="20" t="s">
        <v>1194</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7" hidden="1" customHeight="1">
      <c r="B43" s="2" t="s">
        <v>26</v>
      </c>
      <c r="C43" s="2" t="s">
        <v>34</v>
      </c>
      <c r="D43" s="2" t="s">
        <v>1197</v>
      </c>
      <c r="E43" s="2" t="s">
        <v>38</v>
      </c>
      <c r="F43" s="2" t="s">
        <v>37</v>
      </c>
      <c r="G43" s="134" t="s">
        <v>2050</v>
      </c>
      <c r="H43" s="56" t="str">
        <f>Table1[[#This Row],[Tabela]]&amp;Table1[[#This Row],[Campo]]</f>
        <v>ENERGY_CERTIFICATE_EST_INPUTART_MATRICIAIS</v>
      </c>
      <c r="I43" s="2" t="s">
        <v>617</v>
      </c>
      <c r="J43" s="42">
        <f>VLOOKUP(Table1[[#This Row],[Status]],Auxiliar!$B$16:$C$24,2,0)</f>
        <v>7</v>
      </c>
      <c r="K43" s="2" t="s">
        <v>1190</v>
      </c>
      <c r="L43" s="28" t="s">
        <v>1185</v>
      </c>
      <c r="M43" s="20" t="s">
        <v>1194</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7" hidden="1" customHeight="1">
      <c r="B44" s="2" t="s">
        <v>26</v>
      </c>
      <c r="C44" s="2" t="s">
        <v>34</v>
      </c>
      <c r="D44" s="2" t="s">
        <v>1197</v>
      </c>
      <c r="E44" s="2" t="s">
        <v>38</v>
      </c>
      <c r="F44" s="2" t="s">
        <v>37</v>
      </c>
      <c r="G44" s="134" t="s">
        <v>2051</v>
      </c>
      <c r="H44" s="56" t="str">
        <f>Table1[[#This Row],[Tabela]]&amp;Table1[[#This Row],[Campo]]</f>
        <v>ENERGY_CERTIFICATE_EST_INPUTFRACCAO_AUTONOMA</v>
      </c>
      <c r="I44" s="2" t="s">
        <v>617</v>
      </c>
      <c r="J44" s="42">
        <f>VLOOKUP(Table1[[#This Row],[Status]],Auxiliar!$B$16:$C$24,2,0)</f>
        <v>7</v>
      </c>
      <c r="K44" s="2" t="s">
        <v>1190</v>
      </c>
      <c r="L44" s="28" t="s">
        <v>1185</v>
      </c>
      <c r="M44" s="20" t="s">
        <v>1194</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7" hidden="1" customHeight="1">
      <c r="B45" s="2" t="s">
        <v>26</v>
      </c>
      <c r="C45" s="2" t="s">
        <v>34</v>
      </c>
      <c r="D45" s="2" t="s">
        <v>1197</v>
      </c>
      <c r="E45" s="2" t="s">
        <v>38</v>
      </c>
      <c r="F45" s="2" t="s">
        <v>37</v>
      </c>
      <c r="G45" s="134" t="s">
        <v>2052</v>
      </c>
      <c r="H45" s="56" t="str">
        <f>Table1[[#This Row],[Tabela]]&amp;Table1[[#This Row],[Campo]]</f>
        <v>ENERGY_CERTIFICATE_EST_INPUTFINALIDADE_BEM</v>
      </c>
      <c r="I45" s="2" t="s">
        <v>617</v>
      </c>
      <c r="J45" s="42">
        <f>VLOOKUP(Table1[[#This Row],[Status]],Auxiliar!$B$16:$C$24,2,0)</f>
        <v>7</v>
      </c>
      <c r="K45" s="2" t="s">
        <v>1190</v>
      </c>
      <c r="L45" s="28" t="s">
        <v>1185</v>
      </c>
      <c r="M45" s="20" t="s">
        <v>1194</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7" hidden="1" customHeight="1">
      <c r="B46" s="2" t="s">
        <v>26</v>
      </c>
      <c r="C46" s="2" t="s">
        <v>34</v>
      </c>
      <c r="D46" s="2" t="s">
        <v>1197</v>
      </c>
      <c r="E46" s="2" t="s">
        <v>38</v>
      </c>
      <c r="F46" s="2" t="s">
        <v>37</v>
      </c>
      <c r="G46" s="134" t="s">
        <v>2053</v>
      </c>
      <c r="H46" s="56" t="str">
        <f>Table1[[#This Row],[Tabela]]&amp;Table1[[#This Row],[Campo]]</f>
        <v>ENERGY_CERTIFICATE_EST_INPUTCLASS_GPT31</v>
      </c>
      <c r="I46" s="2" t="s">
        <v>617</v>
      </c>
      <c r="J46" s="42">
        <f>VLOOKUP(Table1[[#This Row],[Status]],Auxiliar!$B$16:$C$24,2,0)</f>
        <v>7</v>
      </c>
      <c r="K46" s="2" t="s">
        <v>1190</v>
      </c>
      <c r="L46" s="28" t="s">
        <v>1185</v>
      </c>
      <c r="M46" s="20" t="s">
        <v>1194</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7" hidden="1" customHeight="1">
      <c r="B47" s="2" t="s">
        <v>26</v>
      </c>
      <c r="C47" s="2" t="s">
        <v>34</v>
      </c>
      <c r="D47" s="2" t="s">
        <v>1197</v>
      </c>
      <c r="E47" s="2" t="s">
        <v>38</v>
      </c>
      <c r="F47" s="2" t="s">
        <v>37</v>
      </c>
      <c r="G47" s="134" t="s">
        <v>2054</v>
      </c>
      <c r="H47" s="56" t="str">
        <f>Table1[[#This Row],[Tabela]]&amp;Table1[[#This Row],[Campo]]</f>
        <v>ENERGY_CERTIFICATE_EST_INPUTCLASS_STCLIM</v>
      </c>
      <c r="I47" s="2" t="s">
        <v>617</v>
      </c>
      <c r="J47" s="42">
        <f>VLOOKUP(Table1[[#This Row],[Status]],Auxiliar!$B$16:$C$24,2,0)</f>
        <v>7</v>
      </c>
      <c r="K47" s="2" t="s">
        <v>1190</v>
      </c>
      <c r="L47" s="28" t="s">
        <v>1185</v>
      </c>
      <c r="M47" s="20" t="s">
        <v>1194</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7" hidden="1" customHeight="1">
      <c r="B48" s="2" t="s">
        <v>26</v>
      </c>
      <c r="C48" s="2" t="s">
        <v>34</v>
      </c>
      <c r="D48" s="2" t="s">
        <v>1197</v>
      </c>
      <c r="E48" s="2" t="s">
        <v>38</v>
      </c>
      <c r="F48" s="2" t="s">
        <v>37</v>
      </c>
      <c r="G48" s="134" t="s">
        <v>2055</v>
      </c>
      <c r="H48" s="56" t="str">
        <f>Table1[[#This Row],[Tabela]]&amp;Table1[[#This Row],[Campo]]</f>
        <v>ENERGY_CERTIFICATE_EST_INPUTCONF_STCLIM</v>
      </c>
      <c r="I48" s="2" t="s">
        <v>617</v>
      </c>
      <c r="J48" s="42">
        <f>VLOOKUP(Table1[[#This Row],[Status]],Auxiliar!$B$16:$C$24,2,0)</f>
        <v>7</v>
      </c>
      <c r="K48" s="2" t="s">
        <v>1190</v>
      </c>
      <c r="L48" s="28" t="s">
        <v>1185</v>
      </c>
      <c r="M48" s="20" t="s">
        <v>1194</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7" hidden="1" customHeight="1">
      <c r="B49" s="2" t="s">
        <v>26</v>
      </c>
      <c r="C49" s="2" t="s">
        <v>34</v>
      </c>
      <c r="D49" s="2" t="s">
        <v>1197</v>
      </c>
      <c r="E49" s="2" t="s">
        <v>38</v>
      </c>
      <c r="F49" s="2" t="s">
        <v>37</v>
      </c>
      <c r="G49" s="134" t="s">
        <v>2056</v>
      </c>
      <c r="H49" s="56" t="str">
        <f>Table1[[#This Row],[Tabela]]&amp;Table1[[#This Row],[Campo]]</f>
        <v>ENERGY_CERTIFICATE_EST_INPUTCLASSE_ENERGETICA</v>
      </c>
      <c r="I49" s="2" t="s">
        <v>617</v>
      </c>
      <c r="J49" s="42">
        <f>VLOOKUP(Table1[[#This Row],[Status]],Auxiliar!$B$16:$C$24,2,0)</f>
        <v>7</v>
      </c>
      <c r="K49" s="2" t="s">
        <v>1190</v>
      </c>
      <c r="L49" s="28" t="s">
        <v>1185</v>
      </c>
      <c r="M49" s="20" t="s">
        <v>1194</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7" hidden="1" customHeight="1">
      <c r="B50" s="2" t="s">
        <v>26</v>
      </c>
      <c r="C50" s="2" t="s">
        <v>34</v>
      </c>
      <c r="D50" s="2" t="s">
        <v>1197</v>
      </c>
      <c r="E50" s="2" t="s">
        <v>38</v>
      </c>
      <c r="F50" s="2" t="s">
        <v>37</v>
      </c>
      <c r="G50" s="134" t="s">
        <v>2057</v>
      </c>
      <c r="H50" s="56" t="str">
        <f>Table1[[#This Row],[Tabela]]&amp;Table1[[#This Row],[Campo]]</f>
        <v>ENERGY_CERTIFICATE_EST_INPUTFIABILIDAD</v>
      </c>
      <c r="I50" s="2" t="s">
        <v>617</v>
      </c>
      <c r="J50" s="42">
        <f>VLOOKUP(Table1[[#This Row],[Status]],Auxiliar!$B$16:$C$24,2,0)</f>
        <v>7</v>
      </c>
      <c r="K50" s="2" t="s">
        <v>1190</v>
      </c>
      <c r="L50" s="28" t="s">
        <v>1185</v>
      </c>
      <c r="M50" s="20" t="s">
        <v>1194</v>
      </c>
      <c r="N50" s="47">
        <v>45688</v>
      </c>
      <c r="O50" s="20">
        <f>INDEX(Auxiliar!$D$5:$F$13,MATCH(Table1[[#This Row],[Tipologia_Testes]],Auxiliar!$B$5:$B$13,0),MATCH(Table1[[#This Row],[Complexidade]],Auxiliar!$D$4:$F$4,0))</f>
        <v>0.1</v>
      </c>
      <c r="P50" s="2" t="s">
        <v>1201</v>
      </c>
      <c r="Q50" s="2"/>
      <c r="R50" s="151">
        <v>45261</v>
      </c>
      <c r="S50" s="151"/>
      <c r="T50" s="151">
        <v>45510</v>
      </c>
      <c r="U50" s="151">
        <v>45624</v>
      </c>
      <c r="V50" s="151"/>
      <c r="W50" s="2">
        <f>VLOOKUP(Table1[[#This Row],[Status]],Auxiliar!$B$16:$D$24,3,0)*Table1[[#This Row],[Estimação (horas)]]</f>
        <v>2.5000000000000001E-2</v>
      </c>
      <c r="X50" s="167"/>
      <c r="Y50" s="170"/>
    </row>
    <row r="51" spans="2:25" ht="17.7" hidden="1" customHeight="1">
      <c r="B51" s="2" t="s">
        <v>26</v>
      </c>
      <c r="C51" s="2" t="s">
        <v>34</v>
      </c>
      <c r="D51" s="2" t="s">
        <v>1197</v>
      </c>
      <c r="E51" s="2" t="s">
        <v>38</v>
      </c>
      <c r="F51" s="2" t="s">
        <v>37</v>
      </c>
      <c r="G51" s="134" t="s">
        <v>2058</v>
      </c>
      <c r="H51" s="56" t="str">
        <f>Table1[[#This Row],[Tabela]]&amp;Table1[[#This Row],[Campo]]</f>
        <v>ENERGY_CERTIFICATE_EST_INPUTEMISSIONES</v>
      </c>
      <c r="I51" s="2" t="s">
        <v>617</v>
      </c>
      <c r="J51" s="42">
        <f>VLOOKUP(Table1[[#This Row],[Status]],Auxiliar!$B$16:$C$24,2,0)</f>
        <v>7</v>
      </c>
      <c r="K51" s="2" t="s">
        <v>1190</v>
      </c>
      <c r="L51" s="28" t="s">
        <v>1185</v>
      </c>
      <c r="M51" s="20" t="s">
        <v>1194</v>
      </c>
      <c r="N51" s="47">
        <v>45688</v>
      </c>
      <c r="O51" s="20">
        <f>INDEX(Auxiliar!$D$5:$F$13,MATCH(Table1[[#This Row],[Tipologia_Testes]],Auxiliar!$B$5:$B$13,0),MATCH(Table1[[#This Row],[Complexidade]],Auxiliar!$D$4:$F$4,0))</f>
        <v>0.1</v>
      </c>
      <c r="P51" s="2" t="s">
        <v>1201</v>
      </c>
      <c r="Q51" s="2"/>
      <c r="R51" s="151">
        <v>45261</v>
      </c>
      <c r="S51" s="151"/>
      <c r="T51" s="151">
        <v>45510</v>
      </c>
      <c r="U51" s="151">
        <v>45624</v>
      </c>
      <c r="V51" s="151"/>
      <c r="W51" s="2">
        <f>VLOOKUP(Table1[[#This Row],[Status]],Auxiliar!$B$16:$D$24,3,0)*Table1[[#This Row],[Estimação (horas)]]</f>
        <v>2.5000000000000001E-2</v>
      </c>
      <c r="X51" s="167"/>
      <c r="Y51" s="170"/>
    </row>
    <row r="52" spans="2:25" ht="17.7" hidden="1" customHeight="1">
      <c r="B52" s="2" t="s">
        <v>26</v>
      </c>
      <c r="C52" s="2" t="s">
        <v>34</v>
      </c>
      <c r="D52" s="2" t="s">
        <v>1197</v>
      </c>
      <c r="E52" s="2" t="s">
        <v>38</v>
      </c>
      <c r="F52" s="2" t="s">
        <v>37</v>
      </c>
      <c r="G52" s="134" t="s">
        <v>2059</v>
      </c>
      <c r="H52" s="56" t="str">
        <f>Table1[[#This Row],[Tabela]]&amp;Table1[[#This Row],[Campo]]</f>
        <v>ENERGY_CERTIFICATE_EST_INPUTCONSUMOS</v>
      </c>
      <c r="I52" s="2" t="s">
        <v>617</v>
      </c>
      <c r="J52" s="42">
        <f>VLOOKUP(Table1[[#This Row],[Status]],Auxiliar!$B$16:$C$24,2,0)</f>
        <v>7</v>
      </c>
      <c r="K52" s="2" t="s">
        <v>1190</v>
      </c>
      <c r="L52" s="28" t="s">
        <v>1185</v>
      </c>
      <c r="M52" s="20" t="s">
        <v>1194</v>
      </c>
      <c r="N52" s="47">
        <v>45688</v>
      </c>
      <c r="O52" s="20">
        <f>INDEX(Auxiliar!$D$5:$F$13,MATCH(Table1[[#This Row],[Tipologia_Testes]],Auxiliar!$B$5:$B$13,0),MATCH(Table1[[#This Row],[Complexidade]],Auxiliar!$D$4:$F$4,0))</f>
        <v>0.1</v>
      </c>
      <c r="P52" s="2" t="s">
        <v>1201</v>
      </c>
      <c r="Q52" s="2"/>
      <c r="R52" s="151">
        <v>45261</v>
      </c>
      <c r="S52" s="151"/>
      <c r="T52" s="151">
        <v>45510</v>
      </c>
      <c r="U52" s="151">
        <v>45624</v>
      </c>
      <c r="V52" s="151"/>
      <c r="W52" s="2">
        <f>VLOOKUP(Table1[[#This Row],[Status]],Auxiliar!$B$16:$D$24,3,0)*Table1[[#This Row],[Estimação (horas)]]</f>
        <v>2.5000000000000001E-2</v>
      </c>
      <c r="X52" s="167"/>
      <c r="Y52" s="170"/>
    </row>
    <row r="53" spans="2:25" ht="17.7" hidden="1" customHeight="1">
      <c r="B53" s="2" t="s">
        <v>26</v>
      </c>
      <c r="C53" s="2" t="s">
        <v>34</v>
      </c>
      <c r="D53" s="2" t="s">
        <v>1197</v>
      </c>
      <c r="E53" s="2" t="s">
        <v>38</v>
      </c>
      <c r="F53" s="2" t="s">
        <v>37</v>
      </c>
      <c r="G53" s="134" t="s">
        <v>2060</v>
      </c>
      <c r="H53" s="56" t="str">
        <f>Table1[[#This Row],[Tabela]]&amp;Table1[[#This Row],[Campo]]</f>
        <v>ENERGY_CERTIFICATE_EST_INPUTDATA_ENVIO</v>
      </c>
      <c r="I53" s="2" t="s">
        <v>617</v>
      </c>
      <c r="J53" s="42">
        <f>VLOOKUP(Table1[[#This Row],[Status]],Auxiliar!$B$16:$C$24,2,0)</f>
        <v>7</v>
      </c>
      <c r="K53" s="2" t="s">
        <v>1190</v>
      </c>
      <c r="L53" s="28" t="s">
        <v>1185</v>
      </c>
      <c r="M53" s="20" t="s">
        <v>1194</v>
      </c>
      <c r="N53" s="47">
        <v>45688</v>
      </c>
      <c r="O53" s="20">
        <f>INDEX(Auxiliar!$D$5:$F$13,MATCH(Table1[[#This Row],[Tipologia_Testes]],Auxiliar!$B$5:$B$13,0),MATCH(Table1[[#This Row],[Complexidade]],Auxiliar!$D$4:$F$4,0))</f>
        <v>0.1</v>
      </c>
      <c r="P53" s="2" t="s">
        <v>1201</v>
      </c>
      <c r="Q53" s="2"/>
      <c r="R53" s="151">
        <v>45261</v>
      </c>
      <c r="S53" s="151"/>
      <c r="T53" s="151">
        <v>45510</v>
      </c>
      <c r="U53" s="151">
        <v>45624</v>
      </c>
      <c r="V53" s="151"/>
      <c r="W53" s="2">
        <f>VLOOKUP(Table1[[#This Row],[Status]],Auxiliar!$B$16:$D$24,3,0)*Table1[[#This Row],[Estimação (horas)]]</f>
        <v>2.5000000000000001E-2</v>
      </c>
      <c r="X53" s="169"/>
      <c r="Y53" s="170"/>
    </row>
    <row r="54" spans="2:25" ht="17.7" hidden="1" customHeight="1">
      <c r="B54" s="2" t="s">
        <v>26</v>
      </c>
      <c r="C54" s="2" t="s">
        <v>34</v>
      </c>
      <c r="D54" s="2" t="s">
        <v>1197</v>
      </c>
      <c r="E54" s="2" t="s">
        <v>38</v>
      </c>
      <c r="F54" s="2" t="s">
        <v>37</v>
      </c>
      <c r="G54" s="134" t="s">
        <v>2021</v>
      </c>
      <c r="H54" s="56" t="str">
        <f>Table1[[#This Row],[Tabela]]&amp;Table1[[#This Row],[Campo]]</f>
        <v>ENERGY_CERTIFICATE_EST_INPUTCHAVE_GLOVAL</v>
      </c>
      <c r="I54" s="2" t="s">
        <v>617</v>
      </c>
      <c r="J54" s="42">
        <f>VLOOKUP(Table1[[#This Row],[Status]],Auxiliar!$B$16:$C$24,2,0)</f>
        <v>7</v>
      </c>
      <c r="K54" s="2" t="s">
        <v>1198</v>
      </c>
      <c r="L54" s="28" t="s">
        <v>1185</v>
      </c>
      <c r="M54" s="20" t="s">
        <v>1194</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7" hidden="1" customHeight="1">
      <c r="B55" s="2" t="s">
        <v>26</v>
      </c>
      <c r="C55" s="2" t="s">
        <v>34</v>
      </c>
      <c r="D55" s="2" t="s">
        <v>1197</v>
      </c>
      <c r="E55" s="2" t="s">
        <v>38</v>
      </c>
      <c r="F55" s="2" t="s">
        <v>37</v>
      </c>
      <c r="G55" s="134" t="s">
        <v>41</v>
      </c>
      <c r="H55" s="56" t="str">
        <f>Table1[[#This Row],[Tabela]]&amp;Table1[[#This Row],[Campo]]</f>
        <v>ENERGY_CERTIFICATE_EST_INPUTPROPERTY_BANK_ID</v>
      </c>
      <c r="I55" s="2" t="s">
        <v>617</v>
      </c>
      <c r="J55" s="42">
        <f>VLOOKUP(Table1[[#This Row],[Status]],Auxiliar!$B$16:$C$24,2,0)</f>
        <v>7</v>
      </c>
      <c r="K55" s="2" t="s">
        <v>1198</v>
      </c>
      <c r="L55" s="28" t="s">
        <v>1185</v>
      </c>
      <c r="M55" s="20" t="s">
        <v>1194</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7" hidden="1" customHeight="1">
      <c r="B56" s="2" t="s">
        <v>26</v>
      </c>
      <c r="C56" s="2" t="s">
        <v>34</v>
      </c>
      <c r="D56" s="2" t="s">
        <v>1197</v>
      </c>
      <c r="E56" s="2" t="s">
        <v>38</v>
      </c>
      <c r="F56" s="2" t="s">
        <v>37</v>
      </c>
      <c r="G56" s="134" t="s">
        <v>43</v>
      </c>
      <c r="H56" s="56" t="str">
        <f>Table1[[#This Row],[Tabela]]&amp;Table1[[#This Row],[Campo]]</f>
        <v>ENERGY_CERTIFICATE_EST_INPUTPROPERTY_BRANCH_CODE</v>
      </c>
      <c r="I56" s="2" t="s">
        <v>617</v>
      </c>
      <c r="J56" s="42">
        <f>VLOOKUP(Table1[[#This Row],[Status]],Auxiliar!$B$16:$C$24,2,0)</f>
        <v>7</v>
      </c>
      <c r="K56" s="2" t="s">
        <v>1198</v>
      </c>
      <c r="L56" s="28" t="s">
        <v>1185</v>
      </c>
      <c r="M56" s="20" t="s">
        <v>1194</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7" hidden="1" customHeight="1">
      <c r="B57" s="2" t="s">
        <v>26</v>
      </c>
      <c r="C57" s="2" t="s">
        <v>34</v>
      </c>
      <c r="D57" s="2" t="s">
        <v>1197</v>
      </c>
      <c r="E57" s="2" t="s">
        <v>38</v>
      </c>
      <c r="F57" s="2" t="s">
        <v>37</v>
      </c>
      <c r="G57" s="134" t="s">
        <v>44</v>
      </c>
      <c r="H57" s="56" t="str">
        <f>Table1[[#This Row],[Tabela]]&amp;Table1[[#This Row],[Campo]]</f>
        <v>ENERGY_CERTIFICATE_EST_INPUTPROPERTY_CONTRACT_ID</v>
      </c>
      <c r="I57" s="2" t="s">
        <v>617</v>
      </c>
      <c r="J57" s="42">
        <f>VLOOKUP(Table1[[#This Row],[Status]],Auxiliar!$B$16:$C$24,2,0)</f>
        <v>7</v>
      </c>
      <c r="K57" s="2" t="s">
        <v>1198</v>
      </c>
      <c r="L57" s="28" t="s">
        <v>1185</v>
      </c>
      <c r="M57" s="20" t="s">
        <v>1194</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7" hidden="1" customHeight="1">
      <c r="B58" s="2" t="s">
        <v>26</v>
      </c>
      <c r="C58" s="2" t="s">
        <v>34</v>
      </c>
      <c r="D58" s="2" t="s">
        <v>1197</v>
      </c>
      <c r="E58" s="2" t="s">
        <v>38</v>
      </c>
      <c r="F58" s="2" t="s">
        <v>37</v>
      </c>
      <c r="G58" s="134" t="s">
        <v>45</v>
      </c>
      <c r="H58" s="56" t="str">
        <f>Table1[[#This Row],[Tabela]]&amp;Table1[[#This Row],[Campo]]</f>
        <v>ENERGY_CERTIFICATE_EST_INPUTPROPERTY_REFERENCE_CODE</v>
      </c>
      <c r="I58" s="2" t="s">
        <v>617</v>
      </c>
      <c r="J58" s="42">
        <f>VLOOKUP(Table1[[#This Row],[Status]],Auxiliar!$B$16:$C$24,2,0)</f>
        <v>7</v>
      </c>
      <c r="K58" s="2" t="s">
        <v>1198</v>
      </c>
      <c r="L58" s="28" t="s">
        <v>1185</v>
      </c>
      <c r="M58" s="20" t="s">
        <v>1194</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7" hidden="1" customHeight="1">
      <c r="B59" s="2" t="s">
        <v>26</v>
      </c>
      <c r="C59" s="2" t="s">
        <v>34</v>
      </c>
      <c r="D59" s="2" t="s">
        <v>1197</v>
      </c>
      <c r="E59" s="2" t="s">
        <v>38</v>
      </c>
      <c r="F59" s="2" t="s">
        <v>37</v>
      </c>
      <c r="G59" s="134" t="s">
        <v>2022</v>
      </c>
      <c r="H59" s="56" t="str">
        <f>Table1[[#This Row],[Tabela]]&amp;Table1[[#This Row],[Campo]]</f>
        <v>ENERGY_CERTIFICATE_EST_INPUTCÓDIGO_DISTRITO</v>
      </c>
      <c r="I59" s="2" t="s">
        <v>617</v>
      </c>
      <c r="J59" s="42">
        <f>VLOOKUP(Table1[[#This Row],[Status]],Auxiliar!$B$16:$C$24,2,0)</f>
        <v>7</v>
      </c>
      <c r="K59" s="2" t="s">
        <v>1198</v>
      </c>
      <c r="L59" s="28" t="s">
        <v>1185</v>
      </c>
      <c r="M59" s="20" t="s">
        <v>1194</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7" hidden="1" customHeight="1">
      <c r="B60" s="2" t="s">
        <v>26</v>
      </c>
      <c r="C60" s="2" t="s">
        <v>34</v>
      </c>
      <c r="D60" s="2" t="s">
        <v>1197</v>
      </c>
      <c r="E60" s="2" t="s">
        <v>38</v>
      </c>
      <c r="F60" s="2" t="s">
        <v>37</v>
      </c>
      <c r="G60" s="134" t="s">
        <v>2023</v>
      </c>
      <c r="H60" s="56" t="str">
        <f>Table1[[#This Row],[Tabela]]&amp;Table1[[#This Row],[Campo]]</f>
        <v>ENERGY_CERTIFICATE_EST_INPUTNOMBRE_DISTRITO</v>
      </c>
      <c r="I60" s="2" t="s">
        <v>617</v>
      </c>
      <c r="J60" s="42">
        <f>VLOOKUP(Table1[[#This Row],[Status]],Auxiliar!$B$16:$C$24,2,0)</f>
        <v>7</v>
      </c>
      <c r="K60" s="2" t="s">
        <v>1198</v>
      </c>
      <c r="L60" s="28" t="s">
        <v>1185</v>
      </c>
      <c r="M60" s="20" t="s">
        <v>1194</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7" hidden="1" customHeight="1">
      <c r="B61" s="2" t="s">
        <v>26</v>
      </c>
      <c r="C61" s="2" t="s">
        <v>34</v>
      </c>
      <c r="D61" s="2" t="s">
        <v>1197</v>
      </c>
      <c r="E61" s="2" t="s">
        <v>38</v>
      </c>
      <c r="F61" s="2" t="s">
        <v>37</v>
      </c>
      <c r="G61" s="134" t="s">
        <v>2024</v>
      </c>
      <c r="H61" s="56" t="str">
        <f>Table1[[#This Row],[Tabela]]&amp;Table1[[#This Row],[Campo]]</f>
        <v>ENERGY_CERTIFICATE_EST_INPUTCÓDIGO_CONCEJO</v>
      </c>
      <c r="I61" s="2" t="s">
        <v>617</v>
      </c>
      <c r="J61" s="42">
        <f>VLOOKUP(Table1[[#This Row],[Status]],Auxiliar!$B$16:$C$24,2,0)</f>
        <v>7</v>
      </c>
      <c r="K61" s="2" t="s">
        <v>1198</v>
      </c>
      <c r="L61" s="28" t="s">
        <v>1185</v>
      </c>
      <c r="M61" s="20" t="s">
        <v>1194</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7" hidden="1" customHeight="1">
      <c r="B62" s="2" t="s">
        <v>26</v>
      </c>
      <c r="C62" s="2" t="s">
        <v>34</v>
      </c>
      <c r="D62" s="2" t="s">
        <v>1197</v>
      </c>
      <c r="E62" s="2" t="s">
        <v>38</v>
      </c>
      <c r="F62" s="2" t="s">
        <v>37</v>
      </c>
      <c r="G62" s="134" t="s">
        <v>2025</v>
      </c>
      <c r="H62" s="56" t="str">
        <f>Table1[[#This Row],[Tabela]]&amp;Table1[[#This Row],[Campo]]</f>
        <v>ENERGY_CERTIFICATE_EST_INPUTNOMBRE_CONCEJO</v>
      </c>
      <c r="I62" s="2" t="s">
        <v>617</v>
      </c>
      <c r="J62" s="42">
        <f>VLOOKUP(Table1[[#This Row],[Status]],Auxiliar!$B$16:$C$24,2,0)</f>
        <v>7</v>
      </c>
      <c r="K62" s="2" t="s">
        <v>1198</v>
      </c>
      <c r="L62" s="28" t="s">
        <v>1185</v>
      </c>
      <c r="M62" s="20" t="s">
        <v>1194</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7" hidden="1" customHeight="1">
      <c r="B63" s="2" t="s">
        <v>26</v>
      </c>
      <c r="C63" s="2" t="s">
        <v>34</v>
      </c>
      <c r="D63" s="2" t="s">
        <v>1197</v>
      </c>
      <c r="E63" s="2" t="s">
        <v>38</v>
      </c>
      <c r="F63" s="2" t="s">
        <v>37</v>
      </c>
      <c r="G63" s="134" t="s">
        <v>2026</v>
      </c>
      <c r="H63" s="56" t="str">
        <f>Table1[[#This Row],[Tabela]]&amp;Table1[[#This Row],[Campo]]</f>
        <v>ENERGY_CERTIFICATE_EST_INPUTCÓDIGO_FREGUESIA</v>
      </c>
      <c r="I63" s="2" t="s">
        <v>617</v>
      </c>
      <c r="J63" s="42">
        <f>VLOOKUP(Table1[[#This Row],[Status]],Auxiliar!$B$16:$C$24,2,0)</f>
        <v>7</v>
      </c>
      <c r="K63" s="2" t="s">
        <v>1198</v>
      </c>
      <c r="L63" s="28" t="s">
        <v>1185</v>
      </c>
      <c r="M63" s="20" t="s">
        <v>1194</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7" hidden="1" customHeight="1">
      <c r="B64" s="2" t="s">
        <v>26</v>
      </c>
      <c r="C64" s="2" t="s">
        <v>34</v>
      </c>
      <c r="D64" s="2" t="s">
        <v>1197</v>
      </c>
      <c r="E64" s="2" t="s">
        <v>38</v>
      </c>
      <c r="F64" s="2" t="s">
        <v>37</v>
      </c>
      <c r="G64" s="134" t="s">
        <v>2027</v>
      </c>
      <c r="H64" s="56" t="str">
        <f>Table1[[#This Row],[Tabela]]&amp;Table1[[#This Row],[Campo]]</f>
        <v>ENERGY_CERTIFICATE_EST_INPUTNOMBRE_FREGUESIA</v>
      </c>
      <c r="I64" s="2" t="s">
        <v>617</v>
      </c>
      <c r="J64" s="42">
        <f>VLOOKUP(Table1[[#This Row],[Status]],Auxiliar!$B$16:$C$24,2,0)</f>
        <v>7</v>
      </c>
      <c r="K64" s="2" t="s">
        <v>1198</v>
      </c>
      <c r="L64" s="28" t="s">
        <v>1185</v>
      </c>
      <c r="M64" s="20" t="s">
        <v>1194</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7" hidden="1" customHeight="1">
      <c r="B65" s="2" t="s">
        <v>26</v>
      </c>
      <c r="C65" s="2" t="s">
        <v>34</v>
      </c>
      <c r="D65" s="2" t="s">
        <v>1197</v>
      </c>
      <c r="E65" s="2" t="s">
        <v>38</v>
      </c>
      <c r="F65" s="2" t="s">
        <v>37</v>
      </c>
      <c r="G65" s="134" t="s">
        <v>2028</v>
      </c>
      <c r="H65" s="56" t="str">
        <f>Table1[[#This Row],[Tabela]]&amp;Table1[[#This Row],[Campo]]</f>
        <v>ENERGY_CERTIFICATE_EST_INPUTLOCALIDADE</v>
      </c>
      <c r="I65" s="2" t="s">
        <v>617</v>
      </c>
      <c r="J65" s="42">
        <f>VLOOKUP(Table1[[#This Row],[Status]],Auxiliar!$B$16:$C$24,2,0)</f>
        <v>7</v>
      </c>
      <c r="K65" s="2" t="s">
        <v>1198</v>
      </c>
      <c r="L65" s="28" t="s">
        <v>1185</v>
      </c>
      <c r="M65" s="20" t="s">
        <v>1194</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7" hidden="1" customHeight="1">
      <c r="B66" s="2" t="s">
        <v>26</v>
      </c>
      <c r="C66" s="2" t="s">
        <v>34</v>
      </c>
      <c r="D66" s="2" t="s">
        <v>1197</v>
      </c>
      <c r="E66" s="2" t="s">
        <v>38</v>
      </c>
      <c r="F66" s="2" t="s">
        <v>37</v>
      </c>
      <c r="G66" s="134" t="s">
        <v>2029</v>
      </c>
      <c r="H66" s="56" t="str">
        <f>Table1[[#This Row],[Tabela]]&amp;Table1[[#This Row],[Campo]]</f>
        <v>ENERGY_CERTIFICATE_EST_INPUTTIPO_VIA</v>
      </c>
      <c r="I66" s="2" t="s">
        <v>617</v>
      </c>
      <c r="J66" s="42">
        <f>VLOOKUP(Table1[[#This Row],[Status]],Auxiliar!$B$16:$C$24,2,0)</f>
        <v>7</v>
      </c>
      <c r="K66" s="2" t="s">
        <v>1198</v>
      </c>
      <c r="L66" s="28" t="s">
        <v>1185</v>
      </c>
      <c r="M66" s="20" t="s">
        <v>1194</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7" hidden="1" customHeight="1">
      <c r="B67" s="2" t="s">
        <v>26</v>
      </c>
      <c r="C67" s="2" t="s">
        <v>34</v>
      </c>
      <c r="D67" s="2" t="s">
        <v>1197</v>
      </c>
      <c r="E67" s="2" t="s">
        <v>38</v>
      </c>
      <c r="F67" s="2" t="s">
        <v>37</v>
      </c>
      <c r="G67" s="134" t="s">
        <v>2030</v>
      </c>
      <c r="H67" s="56" t="str">
        <f>Table1[[#This Row],[Tabela]]&amp;Table1[[#This Row],[Campo]]</f>
        <v>ENERGY_CERTIFICATE_EST_INPUTNOMBRE_TIPO_VIA</v>
      </c>
      <c r="I67" s="2" t="s">
        <v>617</v>
      </c>
      <c r="J67" s="42">
        <f>VLOOKUP(Table1[[#This Row],[Status]],Auxiliar!$B$16:$C$24,2,0)</f>
        <v>7</v>
      </c>
      <c r="K67" s="2" t="s">
        <v>1198</v>
      </c>
      <c r="L67" s="28" t="s">
        <v>1185</v>
      </c>
      <c r="M67" s="20" t="s">
        <v>1194</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7" hidden="1" customHeight="1">
      <c r="B68" s="2" t="s">
        <v>26</v>
      </c>
      <c r="C68" s="2" t="s">
        <v>34</v>
      </c>
      <c r="D68" s="2" t="s">
        <v>1197</v>
      </c>
      <c r="E68" s="2" t="s">
        <v>38</v>
      </c>
      <c r="F68" s="2" t="s">
        <v>37</v>
      </c>
      <c r="G68" s="134" t="s">
        <v>2031</v>
      </c>
      <c r="H68" s="56" t="str">
        <f>Table1[[#This Row],[Tabela]]&amp;Table1[[#This Row],[Campo]]</f>
        <v>ENERGY_CERTIFICATE_EST_INPUTNOMBRE_VIA</v>
      </c>
      <c r="I68" s="2" t="s">
        <v>617</v>
      </c>
      <c r="J68" s="42">
        <f>VLOOKUP(Table1[[#This Row],[Status]],Auxiliar!$B$16:$C$24,2,0)</f>
        <v>7</v>
      </c>
      <c r="K68" s="2" t="s">
        <v>1198</v>
      </c>
      <c r="L68" s="28" t="s">
        <v>1185</v>
      </c>
      <c r="M68" s="20" t="s">
        <v>1194</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7" hidden="1" customHeight="1">
      <c r="B69" s="2" t="s">
        <v>26</v>
      </c>
      <c r="C69" s="2" t="s">
        <v>34</v>
      </c>
      <c r="D69" s="2" t="s">
        <v>1197</v>
      </c>
      <c r="E69" s="2" t="s">
        <v>38</v>
      </c>
      <c r="F69" s="2" t="s">
        <v>37</v>
      </c>
      <c r="G69" s="134" t="s">
        <v>2032</v>
      </c>
      <c r="H69" s="56" t="str">
        <f>Table1[[#This Row],[Tabela]]&amp;Table1[[#This Row],[Campo]]</f>
        <v>ENERGY_CERTIFICATE_EST_INPUTNUMERO_VIA</v>
      </c>
      <c r="I69" s="2" t="s">
        <v>617</v>
      </c>
      <c r="J69" s="42">
        <f>VLOOKUP(Table1[[#This Row],[Status]],Auxiliar!$B$16:$C$24,2,0)</f>
        <v>7</v>
      </c>
      <c r="K69" s="2" t="s">
        <v>1198</v>
      </c>
      <c r="L69" s="28" t="s">
        <v>1185</v>
      </c>
      <c r="M69" s="20" t="s">
        <v>1194</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7" hidden="1" customHeight="1">
      <c r="B70" s="2" t="s">
        <v>26</v>
      </c>
      <c r="C70" s="2" t="s">
        <v>34</v>
      </c>
      <c r="D70" s="2" t="s">
        <v>1197</v>
      </c>
      <c r="E70" s="2" t="s">
        <v>38</v>
      </c>
      <c r="F70" s="2" t="s">
        <v>37</v>
      </c>
      <c r="G70" s="134" t="s">
        <v>2033</v>
      </c>
      <c r="H70" s="56" t="str">
        <f>Table1[[#This Row],[Tabela]]&amp;Table1[[#This Row],[Campo]]</f>
        <v>ENERGY_CERTIFICATE_EST_INPUTLOTE</v>
      </c>
      <c r="I70" s="2" t="s">
        <v>617</v>
      </c>
      <c r="J70" s="42">
        <f>VLOOKUP(Table1[[#This Row],[Status]],Auxiliar!$B$16:$C$24,2,0)</f>
        <v>7</v>
      </c>
      <c r="K70" s="2" t="s">
        <v>1198</v>
      </c>
      <c r="L70" s="28" t="s">
        <v>1185</v>
      </c>
      <c r="M70" s="20" t="s">
        <v>1194</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7" hidden="1" customHeight="1">
      <c r="B71" s="2" t="s">
        <v>26</v>
      </c>
      <c r="C71" s="2" t="s">
        <v>34</v>
      </c>
      <c r="D71" s="2" t="s">
        <v>1197</v>
      </c>
      <c r="E71" s="2" t="s">
        <v>38</v>
      </c>
      <c r="F71" s="2" t="s">
        <v>37</v>
      </c>
      <c r="G71" s="134" t="s">
        <v>2034</v>
      </c>
      <c r="H71" s="56" t="str">
        <f>Table1[[#This Row],[Tabela]]&amp;Table1[[#This Row],[Campo]]</f>
        <v>ENERGY_CERTIFICATE_EST_INPUTURBANIZACION</v>
      </c>
      <c r="I71" s="2" t="s">
        <v>617</v>
      </c>
      <c r="J71" s="42">
        <f>VLOOKUP(Table1[[#This Row],[Status]],Auxiliar!$B$16:$C$24,2,0)</f>
        <v>7</v>
      </c>
      <c r="K71" s="2" t="s">
        <v>1198</v>
      </c>
      <c r="L71" s="28" t="s">
        <v>1185</v>
      </c>
      <c r="M71" s="20" t="s">
        <v>1194</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7" hidden="1" customHeight="1">
      <c r="B72" s="2" t="s">
        <v>26</v>
      </c>
      <c r="C72" s="2" t="s">
        <v>34</v>
      </c>
      <c r="D72" s="2" t="s">
        <v>1197</v>
      </c>
      <c r="E72" s="2" t="s">
        <v>38</v>
      </c>
      <c r="F72" s="2" t="s">
        <v>37</v>
      </c>
      <c r="G72" s="134" t="s">
        <v>2035</v>
      </c>
      <c r="H72" s="56" t="str">
        <f>Table1[[#This Row],[Tabela]]&amp;Table1[[#This Row],[Campo]]</f>
        <v>ENERGY_CERTIFICATE_EST_INPUTCAGLURB</v>
      </c>
      <c r="I72" s="2" t="s">
        <v>617</v>
      </c>
      <c r="J72" s="42">
        <f>VLOOKUP(Table1[[#This Row],[Status]],Auxiliar!$B$16:$C$24,2,0)</f>
        <v>7</v>
      </c>
      <c r="K72" s="2" t="s">
        <v>1198</v>
      </c>
      <c r="L72" s="28" t="s">
        <v>1185</v>
      </c>
      <c r="M72" s="20" t="s">
        <v>1194</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7" hidden="1" customHeight="1">
      <c r="B73" s="2" t="s">
        <v>26</v>
      </c>
      <c r="C73" s="2" t="s">
        <v>34</v>
      </c>
      <c r="D73" s="2" t="s">
        <v>1197</v>
      </c>
      <c r="E73" s="2" t="s">
        <v>38</v>
      </c>
      <c r="F73" s="2" t="s">
        <v>37</v>
      </c>
      <c r="G73" s="134" t="s">
        <v>2036</v>
      </c>
      <c r="H73" s="56" t="str">
        <f>Table1[[#This Row],[Tabela]]&amp;Table1[[#This Row],[Campo]]</f>
        <v>ENERGY_CERTIFICATE_EST_INPUTRESTO_DIRECCION</v>
      </c>
      <c r="I73" s="2" t="s">
        <v>617</v>
      </c>
      <c r="J73" s="42">
        <f>VLOOKUP(Table1[[#This Row],[Status]],Auxiliar!$B$16:$C$24,2,0)</f>
        <v>7</v>
      </c>
      <c r="K73" s="2" t="s">
        <v>1198</v>
      </c>
      <c r="L73" s="28" t="s">
        <v>1185</v>
      </c>
      <c r="M73" s="20" t="s">
        <v>1194</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7" hidden="1" customHeight="1">
      <c r="B74" s="2" t="s">
        <v>26</v>
      </c>
      <c r="C74" s="2" t="s">
        <v>34</v>
      </c>
      <c r="D74" s="2" t="s">
        <v>1197</v>
      </c>
      <c r="E74" s="2" t="s">
        <v>38</v>
      </c>
      <c r="F74" s="2" t="s">
        <v>37</v>
      </c>
      <c r="G74" s="134" t="s">
        <v>2037</v>
      </c>
      <c r="H74" s="56" t="str">
        <f>Table1[[#This Row],[Tabela]]&amp;Table1[[#This Row],[Campo]]</f>
        <v>ENERGY_CERTIFICATE_EST_INPUTLATITUDE</v>
      </c>
      <c r="I74" s="2" t="s">
        <v>617</v>
      </c>
      <c r="J74" s="42">
        <f>VLOOKUP(Table1[[#This Row],[Status]],Auxiliar!$B$16:$C$24,2,0)</f>
        <v>7</v>
      </c>
      <c r="K74" s="2" t="s">
        <v>1198</v>
      </c>
      <c r="L74" s="28" t="s">
        <v>1185</v>
      </c>
      <c r="M74" s="20" t="s">
        <v>1194</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7" hidden="1" customHeight="1">
      <c r="B75" s="2" t="s">
        <v>26</v>
      </c>
      <c r="C75" s="2" t="s">
        <v>34</v>
      </c>
      <c r="D75" s="2" t="s">
        <v>1197</v>
      </c>
      <c r="E75" s="2" t="s">
        <v>38</v>
      </c>
      <c r="F75" s="2" t="s">
        <v>37</v>
      </c>
      <c r="G75" s="134" t="s">
        <v>2038</v>
      </c>
      <c r="H75" s="56" t="str">
        <f>Table1[[#This Row],[Tabela]]&amp;Table1[[#This Row],[Campo]]</f>
        <v>ENERGY_CERTIFICATE_EST_INPUTLONGITUDE</v>
      </c>
      <c r="I75" s="2" t="s">
        <v>617</v>
      </c>
      <c r="J75" s="42">
        <f>VLOOKUP(Table1[[#This Row],[Status]],Auxiliar!$B$16:$C$24,2,0)</f>
        <v>7</v>
      </c>
      <c r="K75" s="2" t="s">
        <v>1198</v>
      </c>
      <c r="L75" s="28" t="s">
        <v>1185</v>
      </c>
      <c r="M75" s="20" t="s">
        <v>1194</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7" hidden="1" customHeight="1">
      <c r="B76" s="2" t="s">
        <v>26</v>
      </c>
      <c r="C76" s="2" t="s">
        <v>34</v>
      </c>
      <c r="D76" s="2" t="s">
        <v>1197</v>
      </c>
      <c r="E76" s="2" t="s">
        <v>38</v>
      </c>
      <c r="F76" s="2" t="s">
        <v>37</v>
      </c>
      <c r="G76" s="134" t="s">
        <v>2039</v>
      </c>
      <c r="H76" s="56" t="str">
        <f>Table1[[#This Row],[Tabela]]&amp;Table1[[#This Row],[Campo]]</f>
        <v>ENERGY_CERTIFICATE_EST_INPUTCODIGO_POSTAL</v>
      </c>
      <c r="I76" s="2" t="s">
        <v>617</v>
      </c>
      <c r="J76" s="42">
        <f>VLOOKUP(Table1[[#This Row],[Status]],Auxiliar!$B$16:$C$24,2,0)</f>
        <v>7</v>
      </c>
      <c r="K76" s="2" t="s">
        <v>1198</v>
      </c>
      <c r="L76" s="28" t="s">
        <v>1185</v>
      </c>
      <c r="M76" s="20" t="s">
        <v>1194</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7" hidden="1" customHeight="1">
      <c r="B77" s="2" t="s">
        <v>26</v>
      </c>
      <c r="C77" s="2" t="s">
        <v>34</v>
      </c>
      <c r="D77" s="2" t="s">
        <v>1197</v>
      </c>
      <c r="E77" s="2" t="s">
        <v>38</v>
      </c>
      <c r="F77" s="2" t="s">
        <v>37</v>
      </c>
      <c r="G77" s="134" t="s">
        <v>2040</v>
      </c>
      <c r="H77" s="56" t="str">
        <f>Table1[[#This Row],[Tabela]]&amp;Table1[[#This Row],[Campo]]</f>
        <v>ENERGY_CERTIFICATE_EST_INPUTSUBCODIGO_POSTAL</v>
      </c>
      <c r="I77" s="2" t="s">
        <v>617</v>
      </c>
      <c r="J77" s="42">
        <f>VLOOKUP(Table1[[#This Row],[Status]],Auxiliar!$B$16:$C$24,2,0)</f>
        <v>7</v>
      </c>
      <c r="K77" s="2" t="s">
        <v>1198</v>
      </c>
      <c r="L77" s="28" t="s">
        <v>1185</v>
      </c>
      <c r="M77" s="20" t="s">
        <v>1194</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7" hidden="1" customHeight="1">
      <c r="B78" s="2" t="s">
        <v>26</v>
      </c>
      <c r="C78" s="2" t="s">
        <v>34</v>
      </c>
      <c r="D78" s="2" t="s">
        <v>1197</v>
      </c>
      <c r="E78" s="2" t="s">
        <v>38</v>
      </c>
      <c r="F78" s="2" t="s">
        <v>37</v>
      </c>
      <c r="G78" s="134" t="s">
        <v>2041</v>
      </c>
      <c r="H78" s="56" t="str">
        <f>Table1[[#This Row],[Tabela]]&amp;Table1[[#This Row],[Campo]]</f>
        <v>ENERGY_CERTIFICATE_EST_INPUTASSUPERFICIE_UTIL</v>
      </c>
      <c r="I78" s="2" t="s">
        <v>617</v>
      </c>
      <c r="J78" s="42">
        <f>VLOOKUP(Table1[[#This Row],[Status]],Auxiliar!$B$16:$C$24,2,0)</f>
        <v>7</v>
      </c>
      <c r="K78" s="2" t="s">
        <v>1198</v>
      </c>
      <c r="L78" s="28" t="s">
        <v>1185</v>
      </c>
      <c r="M78" s="20" t="s">
        <v>1194</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7" hidden="1" customHeight="1">
      <c r="B79" s="2" t="s">
        <v>26</v>
      </c>
      <c r="C79" s="2" t="s">
        <v>34</v>
      </c>
      <c r="D79" s="2" t="s">
        <v>1197</v>
      </c>
      <c r="E79" s="2" t="s">
        <v>38</v>
      </c>
      <c r="F79" s="2" t="s">
        <v>37</v>
      </c>
      <c r="G79" s="134" t="s">
        <v>2042</v>
      </c>
      <c r="H79" s="56" t="str">
        <f>Table1[[#This Row],[Tabela]]&amp;Table1[[#This Row],[Campo]]</f>
        <v>ENERGY_CERTIFICATE_EST_INPUTANIO_CONSTRUCCION</v>
      </c>
      <c r="I79" s="2" t="s">
        <v>617</v>
      </c>
      <c r="J79" s="42">
        <f>VLOOKUP(Table1[[#This Row],[Status]],Auxiliar!$B$16:$C$24,2,0)</f>
        <v>7</v>
      </c>
      <c r="K79" s="2" t="s">
        <v>1198</v>
      </c>
      <c r="L79" s="28" t="s">
        <v>1185</v>
      </c>
      <c r="M79" s="20" t="s">
        <v>1194</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7" hidden="1" customHeight="1">
      <c r="B80" s="2" t="s">
        <v>26</v>
      </c>
      <c r="C80" s="2" t="s">
        <v>34</v>
      </c>
      <c r="D80" s="2" t="s">
        <v>1197</v>
      </c>
      <c r="E80" s="2" t="s">
        <v>38</v>
      </c>
      <c r="F80" s="2" t="s">
        <v>37</v>
      </c>
      <c r="G80" s="134" t="s">
        <v>2043</v>
      </c>
      <c r="H80" s="56" t="str">
        <f>Table1[[#This Row],[Tabela]]&amp;Table1[[#This Row],[Campo]]</f>
        <v>ENERGY_CERTIFICATE_EST_INPUTTIPO_INMUEBLE_HABITACAO</v>
      </c>
      <c r="I80" s="2" t="s">
        <v>617</v>
      </c>
      <c r="J80" s="42">
        <f>VLOOKUP(Table1[[#This Row],[Status]],Auxiliar!$B$16:$C$24,2,0)</f>
        <v>7</v>
      </c>
      <c r="K80" s="2" t="s">
        <v>1198</v>
      </c>
      <c r="L80" s="28" t="s">
        <v>1185</v>
      </c>
      <c r="M80" s="20" t="s">
        <v>1194</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7" hidden="1" customHeight="1">
      <c r="B81" s="2" t="s">
        <v>26</v>
      </c>
      <c r="C81" s="2" t="s">
        <v>34</v>
      </c>
      <c r="D81" s="2" t="s">
        <v>1197</v>
      </c>
      <c r="E81" s="2" t="s">
        <v>38</v>
      </c>
      <c r="F81" s="2" t="s">
        <v>37</v>
      </c>
      <c r="G81" s="134" t="s">
        <v>2044</v>
      </c>
      <c r="H81" s="56" t="str">
        <f>Table1[[#This Row],[Tabela]]&amp;Table1[[#This Row],[Campo]]</f>
        <v>ENERGY_CERTIFICATE_EST_INPUTPISO_APARTAMENTO</v>
      </c>
      <c r="I81" s="2" t="s">
        <v>617</v>
      </c>
      <c r="J81" s="42">
        <f>VLOOKUP(Table1[[#This Row],[Status]],Auxiliar!$B$16:$C$24,2,0)</f>
        <v>7</v>
      </c>
      <c r="K81" s="2" t="s">
        <v>1198</v>
      </c>
      <c r="L81" s="28" t="s">
        <v>1185</v>
      </c>
      <c r="M81" s="20" t="s">
        <v>1194</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7" hidden="1" customHeight="1">
      <c r="B82" s="2" t="s">
        <v>26</v>
      </c>
      <c r="C82" s="2" t="s">
        <v>34</v>
      </c>
      <c r="D82" s="2" t="s">
        <v>1197</v>
      </c>
      <c r="E82" s="2" t="s">
        <v>38</v>
      </c>
      <c r="F82" s="2" t="s">
        <v>37</v>
      </c>
      <c r="G82" s="134" t="s">
        <v>2045</v>
      </c>
      <c r="H82" s="56" t="str">
        <f>Table1[[#This Row],[Tabela]]&amp;Table1[[#This Row],[Campo]]</f>
        <v>ENERGY_CERTIFICATE_EST_INPUTCASA_UNIFAMILIAR</v>
      </c>
      <c r="I82" s="2" t="s">
        <v>617</v>
      </c>
      <c r="J82" s="42">
        <f>VLOOKUP(Table1[[#This Row],[Status]],Auxiliar!$B$16:$C$24,2,0)</f>
        <v>7</v>
      </c>
      <c r="K82" s="2" t="s">
        <v>1198</v>
      </c>
      <c r="L82" s="28" t="s">
        <v>1185</v>
      </c>
      <c r="M82" s="20" t="s">
        <v>1194</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7" hidden="1" customHeight="1">
      <c r="B83" s="2" t="s">
        <v>26</v>
      </c>
      <c r="C83" s="2" t="s">
        <v>34</v>
      </c>
      <c r="D83" s="2" t="s">
        <v>1197</v>
      </c>
      <c r="E83" s="2" t="s">
        <v>38</v>
      </c>
      <c r="F83" s="2" t="s">
        <v>37</v>
      </c>
      <c r="G83" s="134" t="s">
        <v>2046</v>
      </c>
      <c r="H83" s="56" t="str">
        <f>Table1[[#This Row],[Tabela]]&amp;Table1[[#This Row],[Campo]]</f>
        <v>ENERGY_CERTIFICATE_EST_INPUTTIPO_INMUEBLE_COMERCIO_SERVICOS</v>
      </c>
      <c r="I83" s="2" t="s">
        <v>617</v>
      </c>
      <c r="J83" s="42">
        <f>VLOOKUP(Table1[[#This Row],[Status]],Auxiliar!$B$16:$C$24,2,0)</f>
        <v>7</v>
      </c>
      <c r="K83" s="2" t="s">
        <v>1198</v>
      </c>
      <c r="L83" s="28" t="s">
        <v>1185</v>
      </c>
      <c r="M83" s="20" t="s">
        <v>1194</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7" hidden="1" customHeight="1">
      <c r="B84" s="2" t="s">
        <v>26</v>
      </c>
      <c r="C84" s="2" t="s">
        <v>34</v>
      </c>
      <c r="D84" s="2" t="s">
        <v>1197</v>
      </c>
      <c r="E84" s="2" t="s">
        <v>38</v>
      </c>
      <c r="F84" s="2" t="s">
        <v>37</v>
      </c>
      <c r="G84" s="134" t="s">
        <v>2047</v>
      </c>
      <c r="H84" s="56" t="str">
        <f>Table1[[#This Row],[Tabela]]&amp;Table1[[#This Row],[Campo]]</f>
        <v>ENERGY_CERTIFICATE_EST_INPUTNOME_CONSERVATORIA</v>
      </c>
      <c r="I84" s="2" t="s">
        <v>617</v>
      </c>
      <c r="J84" s="42">
        <f>VLOOKUP(Table1[[#This Row],[Status]],Auxiliar!$B$16:$C$24,2,0)</f>
        <v>7</v>
      </c>
      <c r="K84" s="2" t="s">
        <v>1198</v>
      </c>
      <c r="L84" s="28" t="s">
        <v>1185</v>
      </c>
      <c r="M84" s="20" t="s">
        <v>1194</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7" hidden="1" customHeight="1">
      <c r="B85" s="2" t="s">
        <v>26</v>
      </c>
      <c r="C85" s="2" t="s">
        <v>34</v>
      </c>
      <c r="D85" s="2" t="s">
        <v>1197</v>
      </c>
      <c r="E85" s="2" t="s">
        <v>38</v>
      </c>
      <c r="F85" s="2" t="s">
        <v>37</v>
      </c>
      <c r="G85" s="134" t="s">
        <v>2048</v>
      </c>
      <c r="H85" s="56" t="str">
        <f>Table1[[#This Row],[Tabela]]&amp;Table1[[#This Row],[Campo]]</f>
        <v>ENERGY_CERTIFICATE_EST_INPUTCOD_CONSERVATORIA</v>
      </c>
      <c r="I85" s="2" t="s">
        <v>617</v>
      </c>
      <c r="J85" s="42">
        <f>VLOOKUP(Table1[[#This Row],[Status]],Auxiliar!$B$16:$C$24,2,0)</f>
        <v>7</v>
      </c>
      <c r="K85" s="2" t="s">
        <v>1198</v>
      </c>
      <c r="L85" s="28" t="s">
        <v>1185</v>
      </c>
      <c r="M85" s="20" t="s">
        <v>1194</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7" hidden="1" customHeight="1">
      <c r="B86" s="2" t="s">
        <v>26</v>
      </c>
      <c r="C86" s="2" t="s">
        <v>34</v>
      </c>
      <c r="D86" s="2" t="s">
        <v>1197</v>
      </c>
      <c r="E86" s="2" t="s">
        <v>38</v>
      </c>
      <c r="F86" s="2" t="s">
        <v>37</v>
      </c>
      <c r="G86" s="134" t="s">
        <v>2049</v>
      </c>
      <c r="H86" s="56" t="str">
        <f>Table1[[#This Row],[Tabela]]&amp;Table1[[#This Row],[Campo]]</f>
        <v>ENERGY_CERTIFICATE_EST_INPUTREGISTRO_CONSERVATORIA</v>
      </c>
      <c r="I86" s="2" t="s">
        <v>617</v>
      </c>
      <c r="J86" s="42">
        <f>VLOOKUP(Table1[[#This Row],[Status]],Auxiliar!$B$16:$C$24,2,0)</f>
        <v>7</v>
      </c>
      <c r="K86" s="2" t="s">
        <v>1198</v>
      </c>
      <c r="L86" s="28" t="s">
        <v>1185</v>
      </c>
      <c r="M86" s="20" t="s">
        <v>1194</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7" hidden="1" customHeight="1">
      <c r="B87" s="2" t="s">
        <v>26</v>
      </c>
      <c r="C87" s="2" t="s">
        <v>34</v>
      </c>
      <c r="D87" s="2" t="s">
        <v>1197</v>
      </c>
      <c r="E87" s="2" t="s">
        <v>38</v>
      </c>
      <c r="F87" s="2" t="s">
        <v>37</v>
      </c>
      <c r="G87" s="134" t="s">
        <v>2050</v>
      </c>
      <c r="H87" s="56" t="str">
        <f>Table1[[#This Row],[Tabela]]&amp;Table1[[#This Row],[Campo]]</f>
        <v>ENERGY_CERTIFICATE_EST_INPUTART_MATRICIAIS</v>
      </c>
      <c r="I87" s="2" t="s">
        <v>617</v>
      </c>
      <c r="J87" s="42">
        <f>VLOOKUP(Table1[[#This Row],[Status]],Auxiliar!$B$16:$C$24,2,0)</f>
        <v>7</v>
      </c>
      <c r="K87" s="2" t="s">
        <v>1198</v>
      </c>
      <c r="L87" s="28" t="s">
        <v>1185</v>
      </c>
      <c r="M87" s="20" t="s">
        <v>1194</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7" hidden="1" customHeight="1">
      <c r="B88" s="2" t="s">
        <v>26</v>
      </c>
      <c r="C88" s="2" t="s">
        <v>34</v>
      </c>
      <c r="D88" s="2" t="s">
        <v>1197</v>
      </c>
      <c r="E88" s="2" t="s">
        <v>38</v>
      </c>
      <c r="F88" s="2" t="s">
        <v>37</v>
      </c>
      <c r="G88" s="134" t="s">
        <v>2051</v>
      </c>
      <c r="H88" s="56" t="str">
        <f>Table1[[#This Row],[Tabela]]&amp;Table1[[#This Row],[Campo]]</f>
        <v>ENERGY_CERTIFICATE_EST_INPUTFRACCAO_AUTONOMA</v>
      </c>
      <c r="I88" s="2" t="s">
        <v>617</v>
      </c>
      <c r="J88" s="42">
        <f>VLOOKUP(Table1[[#This Row],[Status]],Auxiliar!$B$16:$C$24,2,0)</f>
        <v>7</v>
      </c>
      <c r="K88" s="2" t="s">
        <v>1198</v>
      </c>
      <c r="L88" s="28" t="s">
        <v>1185</v>
      </c>
      <c r="M88" s="20" t="s">
        <v>1194</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7" hidden="1" customHeight="1">
      <c r="B89" s="2" t="s">
        <v>26</v>
      </c>
      <c r="C89" s="2" t="s">
        <v>34</v>
      </c>
      <c r="D89" s="2" t="s">
        <v>1197</v>
      </c>
      <c r="E89" s="2" t="s">
        <v>38</v>
      </c>
      <c r="F89" s="2" t="s">
        <v>37</v>
      </c>
      <c r="G89" s="134" t="s">
        <v>2052</v>
      </c>
      <c r="H89" s="56" t="str">
        <f>Table1[[#This Row],[Tabela]]&amp;Table1[[#This Row],[Campo]]</f>
        <v>ENERGY_CERTIFICATE_EST_INPUTFINALIDADE_BEM</v>
      </c>
      <c r="I89" s="2" t="s">
        <v>617</v>
      </c>
      <c r="J89" s="42">
        <f>VLOOKUP(Table1[[#This Row],[Status]],Auxiliar!$B$16:$C$24,2,0)</f>
        <v>7</v>
      </c>
      <c r="K89" s="2" t="s">
        <v>1198</v>
      </c>
      <c r="L89" s="28" t="s">
        <v>1185</v>
      </c>
      <c r="M89" s="20" t="s">
        <v>1194</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7" hidden="1" customHeight="1">
      <c r="B90" s="2" t="s">
        <v>26</v>
      </c>
      <c r="C90" s="2" t="s">
        <v>34</v>
      </c>
      <c r="D90" s="2" t="s">
        <v>1197</v>
      </c>
      <c r="E90" s="2" t="s">
        <v>38</v>
      </c>
      <c r="F90" s="2" t="s">
        <v>37</v>
      </c>
      <c r="G90" s="134" t="s">
        <v>2053</v>
      </c>
      <c r="H90" s="56" t="str">
        <f>Table1[[#This Row],[Tabela]]&amp;Table1[[#This Row],[Campo]]</f>
        <v>ENERGY_CERTIFICATE_EST_INPUTCLASS_GPT31</v>
      </c>
      <c r="I90" s="2" t="s">
        <v>617</v>
      </c>
      <c r="J90" s="42">
        <f>VLOOKUP(Table1[[#This Row],[Status]],Auxiliar!$B$16:$C$24,2,0)</f>
        <v>7</v>
      </c>
      <c r="K90" s="2" t="s">
        <v>1198</v>
      </c>
      <c r="L90" s="28" t="s">
        <v>1185</v>
      </c>
      <c r="M90" s="20" t="s">
        <v>1194</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7" hidden="1" customHeight="1">
      <c r="B91" s="2" t="s">
        <v>26</v>
      </c>
      <c r="C91" s="2" t="s">
        <v>34</v>
      </c>
      <c r="D91" s="2" t="s">
        <v>1197</v>
      </c>
      <c r="E91" s="2" t="s">
        <v>38</v>
      </c>
      <c r="F91" s="2" t="s">
        <v>37</v>
      </c>
      <c r="G91" s="134" t="s">
        <v>2054</v>
      </c>
      <c r="H91" s="56" t="str">
        <f>Table1[[#This Row],[Tabela]]&amp;Table1[[#This Row],[Campo]]</f>
        <v>ENERGY_CERTIFICATE_EST_INPUTCLASS_STCLIM</v>
      </c>
      <c r="I91" s="2" t="s">
        <v>617</v>
      </c>
      <c r="J91" s="42">
        <f>VLOOKUP(Table1[[#This Row],[Status]],Auxiliar!$B$16:$C$24,2,0)</f>
        <v>7</v>
      </c>
      <c r="K91" s="2" t="s">
        <v>1198</v>
      </c>
      <c r="L91" s="28" t="s">
        <v>1185</v>
      </c>
      <c r="M91" s="20" t="s">
        <v>1194</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7" hidden="1" customHeight="1">
      <c r="B92" s="2" t="s">
        <v>26</v>
      </c>
      <c r="C92" s="2" t="s">
        <v>34</v>
      </c>
      <c r="D92" s="2" t="s">
        <v>1197</v>
      </c>
      <c r="E92" s="2" t="s">
        <v>38</v>
      </c>
      <c r="F92" s="2" t="s">
        <v>37</v>
      </c>
      <c r="G92" s="134" t="s">
        <v>2055</v>
      </c>
      <c r="H92" s="56" t="str">
        <f>Table1[[#This Row],[Tabela]]&amp;Table1[[#This Row],[Campo]]</f>
        <v>ENERGY_CERTIFICATE_EST_INPUTCONF_STCLIM</v>
      </c>
      <c r="I92" s="2" t="s">
        <v>617</v>
      </c>
      <c r="J92" s="42">
        <f>VLOOKUP(Table1[[#This Row],[Status]],Auxiliar!$B$16:$C$24,2,0)</f>
        <v>7</v>
      </c>
      <c r="K92" s="2" t="s">
        <v>1198</v>
      </c>
      <c r="L92" s="28" t="s">
        <v>1185</v>
      </c>
      <c r="M92" s="20" t="s">
        <v>1194</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7" hidden="1" customHeight="1">
      <c r="B93" s="2" t="s">
        <v>26</v>
      </c>
      <c r="C93" s="2" t="s">
        <v>34</v>
      </c>
      <c r="D93" s="2" t="s">
        <v>1197</v>
      </c>
      <c r="E93" s="2" t="s">
        <v>38</v>
      </c>
      <c r="F93" s="2" t="s">
        <v>37</v>
      </c>
      <c r="G93" s="134" t="s">
        <v>2056</v>
      </c>
      <c r="H93" s="56" t="str">
        <f>Table1[[#This Row],[Tabela]]&amp;Table1[[#This Row],[Campo]]</f>
        <v>ENERGY_CERTIFICATE_EST_INPUTCLASSE_ENERGETICA</v>
      </c>
      <c r="I93" s="2" t="s">
        <v>617</v>
      </c>
      <c r="J93" s="42">
        <f>VLOOKUP(Table1[[#This Row],[Status]],Auxiliar!$B$16:$C$24,2,0)</f>
        <v>7</v>
      </c>
      <c r="K93" s="2" t="s">
        <v>1198</v>
      </c>
      <c r="L93" s="28" t="s">
        <v>1185</v>
      </c>
      <c r="M93" s="20" t="s">
        <v>1194</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7" hidden="1" customHeight="1">
      <c r="B94" s="2" t="s">
        <v>26</v>
      </c>
      <c r="C94" s="2" t="s">
        <v>34</v>
      </c>
      <c r="D94" s="2" t="s">
        <v>1197</v>
      </c>
      <c r="E94" s="2" t="s">
        <v>38</v>
      </c>
      <c r="F94" s="2" t="s">
        <v>37</v>
      </c>
      <c r="G94" s="134" t="s">
        <v>2057</v>
      </c>
      <c r="H94" s="56" t="str">
        <f>Table1[[#This Row],[Tabela]]&amp;Table1[[#This Row],[Campo]]</f>
        <v>ENERGY_CERTIFICATE_EST_INPUTFIABILIDAD</v>
      </c>
      <c r="I94" s="2" t="s">
        <v>617</v>
      </c>
      <c r="J94" s="42">
        <f>VLOOKUP(Table1[[#This Row],[Status]],Auxiliar!$B$16:$C$24,2,0)</f>
        <v>7</v>
      </c>
      <c r="K94" s="2" t="s">
        <v>1198</v>
      </c>
      <c r="L94" s="28" t="s">
        <v>1185</v>
      </c>
      <c r="M94" s="20" t="s">
        <v>1194</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7" hidden="1" customHeight="1">
      <c r="B95" s="2" t="s">
        <v>26</v>
      </c>
      <c r="C95" s="2" t="s">
        <v>34</v>
      </c>
      <c r="D95" s="2" t="s">
        <v>1197</v>
      </c>
      <c r="E95" s="2" t="s">
        <v>38</v>
      </c>
      <c r="F95" s="2" t="s">
        <v>37</v>
      </c>
      <c r="G95" s="134" t="s">
        <v>2058</v>
      </c>
      <c r="H95" s="56" t="str">
        <f>Table1[[#This Row],[Tabela]]&amp;Table1[[#This Row],[Campo]]</f>
        <v>ENERGY_CERTIFICATE_EST_INPUTEMISSIONES</v>
      </c>
      <c r="I95" s="2" t="s">
        <v>617</v>
      </c>
      <c r="J95" s="42">
        <f>VLOOKUP(Table1[[#This Row],[Status]],Auxiliar!$B$16:$C$24,2,0)</f>
        <v>7</v>
      </c>
      <c r="K95" s="2" t="s">
        <v>1198</v>
      </c>
      <c r="L95" s="28" t="s">
        <v>1185</v>
      </c>
      <c r="M95" s="20" t="s">
        <v>1194</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7" hidden="1" customHeight="1">
      <c r="B96" s="2" t="s">
        <v>26</v>
      </c>
      <c r="C96" s="2" t="s">
        <v>34</v>
      </c>
      <c r="D96" s="2" t="s">
        <v>1197</v>
      </c>
      <c r="E96" s="2" t="s">
        <v>38</v>
      </c>
      <c r="F96" s="2" t="s">
        <v>37</v>
      </c>
      <c r="G96" s="134" t="s">
        <v>2059</v>
      </c>
      <c r="H96" s="56" t="str">
        <f>Table1[[#This Row],[Tabela]]&amp;Table1[[#This Row],[Campo]]</f>
        <v>ENERGY_CERTIFICATE_EST_INPUTCONSUMOS</v>
      </c>
      <c r="I96" s="2" t="s">
        <v>617</v>
      </c>
      <c r="J96" s="42">
        <f>VLOOKUP(Table1[[#This Row],[Status]],Auxiliar!$B$16:$C$24,2,0)</f>
        <v>7</v>
      </c>
      <c r="K96" s="2" t="s">
        <v>1198</v>
      </c>
      <c r="L96" s="28" t="s">
        <v>1185</v>
      </c>
      <c r="M96" s="20" t="s">
        <v>1194</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7" hidden="1" customHeight="1">
      <c r="B97" s="2" t="s">
        <v>26</v>
      </c>
      <c r="C97" s="2" t="s">
        <v>34</v>
      </c>
      <c r="D97" s="2" t="s">
        <v>1197</v>
      </c>
      <c r="E97" s="2" t="s">
        <v>38</v>
      </c>
      <c r="F97" s="2" t="s">
        <v>37</v>
      </c>
      <c r="G97" s="134" t="s">
        <v>2060</v>
      </c>
      <c r="H97" s="56" t="str">
        <f>Table1[[#This Row],[Tabela]]&amp;Table1[[#This Row],[Campo]]</f>
        <v>ENERGY_CERTIFICATE_EST_INPUTDATA_ENVIO</v>
      </c>
      <c r="I97" s="2" t="s">
        <v>617</v>
      </c>
      <c r="J97" s="42">
        <f>VLOOKUP(Table1[[#This Row],[Status]],Auxiliar!$B$16:$C$24,2,0)</f>
        <v>7</v>
      </c>
      <c r="K97" s="2" t="s">
        <v>1198</v>
      </c>
      <c r="L97" s="28" t="s">
        <v>1185</v>
      </c>
      <c r="M97" s="20" t="s">
        <v>1194</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1184</v>
      </c>
      <c r="L98" s="28" t="s">
        <v>1185</v>
      </c>
      <c r="M98" s="20" t="s">
        <v>1186</v>
      </c>
      <c r="N98" s="47">
        <v>45505</v>
      </c>
      <c r="O98" s="20">
        <f>INDEX(Auxiliar!$D$5:$F$13,MATCH(Table1[[#This Row],[Tipologia_Testes]],Auxiliar!$B$5:$B$13,0),MATCH(Table1[[#This Row],[Complexidade]],Auxiliar!$D$4:$F$4,0))</f>
        <v>8</v>
      </c>
      <c r="P98" s="22" t="s">
        <v>1203</v>
      </c>
      <c r="Q98" s="2" t="s">
        <v>1204</v>
      </c>
      <c r="R98" s="151">
        <v>45261</v>
      </c>
      <c r="S98" s="151"/>
      <c r="T98" s="151"/>
      <c r="U98" s="151"/>
      <c r="V98" s="151"/>
      <c r="W98" s="2">
        <f>VLOOKUP(Table1[[#This Row],[Status]],Auxiliar!$B$16:$D$24,3,0)*Table1[[#This Row],[Estimação (horas)]]</f>
        <v>8</v>
      </c>
      <c r="X98" s="169"/>
      <c r="Y98" s="166"/>
    </row>
    <row r="99" spans="2:25" ht="52.2"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1187</v>
      </c>
      <c r="L99" s="28" t="s">
        <v>1205</v>
      </c>
      <c r="M99" s="20" t="s">
        <v>1195</v>
      </c>
      <c r="N99" s="47">
        <v>45505</v>
      </c>
      <c r="O99" s="20">
        <f>INDEX(Auxiliar!$D$5:$F$13,MATCH(Table1[[#This Row],[Tipologia_Testes]],Auxiliar!$B$5:$B$13,0),MATCH(Table1[[#This Row],[Complexidade]],Auxiliar!$D$4:$F$4,0))</f>
        <v>4</v>
      </c>
      <c r="P99" s="22" t="s">
        <v>1206</v>
      </c>
      <c r="Q99" s="2" t="s">
        <v>1204</v>
      </c>
      <c r="R99" s="151">
        <v>45425</v>
      </c>
      <c r="S99" s="151"/>
      <c r="T99" s="151"/>
      <c r="U99" s="151"/>
      <c r="V99" s="151"/>
      <c r="W99" s="2">
        <f>VLOOKUP(Table1[[#This Row],[Status]],Auxiliar!$B$16:$D$24,3,0)*Table1[[#This Row],[Estimação (horas)]]</f>
        <v>4</v>
      </c>
      <c r="X99" s="169"/>
      <c r="Y99" s="166"/>
    </row>
    <row r="100" spans="2:25" ht="17.7"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1187</v>
      </c>
      <c r="L100" s="28" t="s">
        <v>1185</v>
      </c>
      <c r="M100" s="20" t="s">
        <v>1195</v>
      </c>
      <c r="N100" s="47">
        <v>45505</v>
      </c>
      <c r="O100" s="20">
        <f>INDEX(Auxiliar!$D$5:$F$13,MATCH(Table1[[#This Row],[Tipologia_Testes]],Auxiliar!$B$5:$B$13,0),MATCH(Table1[[#This Row],[Complexidade]],Auxiliar!$D$4:$F$4,0))</f>
        <v>4</v>
      </c>
      <c r="P100" s="2"/>
      <c r="Q100" s="2" t="s">
        <v>1204</v>
      </c>
      <c r="R100" s="151">
        <v>45261</v>
      </c>
      <c r="S100" s="151"/>
      <c r="T100" s="151"/>
      <c r="U100" s="151"/>
      <c r="V100" s="151"/>
      <c r="W100" s="2">
        <f>VLOOKUP(Table1[[#This Row],[Status]],Auxiliar!$B$16:$D$24,3,0)*Table1[[#This Row],[Estimação (horas)]]</f>
        <v>4</v>
      </c>
      <c r="X100" s="169"/>
      <c r="Y100" s="166"/>
    </row>
    <row r="101" spans="2:25" ht="17.7"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1188</v>
      </c>
      <c r="L101" s="28" t="s">
        <v>1185</v>
      </c>
      <c r="M101" s="20" t="s">
        <v>1195</v>
      </c>
      <c r="N101" s="47">
        <v>45505</v>
      </c>
      <c r="O101" s="20">
        <f>INDEX(Auxiliar!$D$5:$F$13,MATCH(Table1[[#This Row],[Tipologia_Testes]],Auxiliar!$B$5:$B$13,0),MATCH(Table1[[#This Row],[Complexidade]],Auxiliar!$D$4:$F$4,0))</f>
        <v>4</v>
      </c>
      <c r="P101" s="2"/>
      <c r="Q101" s="2" t="s">
        <v>1204</v>
      </c>
      <c r="R101" s="151">
        <v>45261</v>
      </c>
      <c r="S101" s="151"/>
      <c r="T101" s="151"/>
      <c r="U101" s="151"/>
      <c r="V101" s="151"/>
      <c r="W101" s="2">
        <f>VLOOKUP(Table1[[#This Row],[Status]],Auxiliar!$B$16:$D$24,3,0)*Table1[[#This Row],[Estimação (horas)]]</f>
        <v>4</v>
      </c>
      <c r="X101" s="169"/>
      <c r="Y101" s="166"/>
    </row>
    <row r="102" spans="2:25" ht="17.7"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1190</v>
      </c>
      <c r="L102" s="28" t="s">
        <v>1185</v>
      </c>
      <c r="M102" s="20" t="s">
        <v>1195</v>
      </c>
      <c r="N102" s="47">
        <v>45505</v>
      </c>
      <c r="O102" s="20">
        <f>INDEX(Auxiliar!$D$5:$F$13,MATCH(Table1[[#This Row],[Tipologia_Testes]],Auxiliar!$B$5:$B$13,0),MATCH(Table1[[#This Row],[Complexidade]],Auxiliar!$D$4:$F$4,0))</f>
        <v>0.1</v>
      </c>
      <c r="P102" s="2"/>
      <c r="Q102" s="2" t="s">
        <v>1204</v>
      </c>
      <c r="R102" s="151">
        <v>45261</v>
      </c>
      <c r="S102" s="151"/>
      <c r="T102" s="151"/>
      <c r="U102" s="151"/>
      <c r="V102" s="151"/>
      <c r="W102" s="2">
        <f>VLOOKUP(Table1[[#This Row],[Status]],Auxiliar!$B$16:$D$24,3,0)*Table1[[#This Row],[Estimação (horas)]]</f>
        <v>0.1</v>
      </c>
      <c r="X102" s="169"/>
      <c r="Y102" s="166"/>
    </row>
    <row r="103" spans="2:25" ht="17.7"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1187</v>
      </c>
      <c r="L103" s="28" t="s">
        <v>1193</v>
      </c>
      <c r="M103" s="20" t="s">
        <v>1194</v>
      </c>
      <c r="N103" s="47">
        <v>45485</v>
      </c>
      <c r="O103" s="20">
        <f>INDEX(Auxiliar!$D$5:$F$13,MATCH(Table1[[#This Row],[Tipologia_Testes]],Auxiliar!$B$5:$B$13,0),MATCH(Table1[[#This Row],[Complexidade]],Auxiliar!$D$4:$F$4,0))</f>
        <v>2</v>
      </c>
      <c r="P103" s="2" t="s">
        <v>1207</v>
      </c>
      <c r="Q103" s="2" t="s">
        <v>1204</v>
      </c>
      <c r="R103" s="151">
        <v>45261</v>
      </c>
      <c r="S103" s="151"/>
      <c r="T103" s="151"/>
      <c r="U103" s="151"/>
      <c r="V103" s="151"/>
      <c r="W103" s="2">
        <f>VLOOKUP(Table1[[#This Row],[Status]],Auxiliar!$B$16:$D$24,3,0)*Table1[[#This Row],[Estimação (horas)]]</f>
        <v>2</v>
      </c>
      <c r="X103" s="169"/>
      <c r="Y103" s="166"/>
    </row>
    <row r="104" spans="2:25" ht="17.7"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1188</v>
      </c>
      <c r="L104" s="28" t="s">
        <v>1193</v>
      </c>
      <c r="M104" s="20" t="s">
        <v>1194</v>
      </c>
      <c r="N104" s="47">
        <v>45485</v>
      </c>
      <c r="O104" s="20">
        <f>INDEX(Auxiliar!$D$5:$F$13,MATCH(Table1[[#This Row],[Tipologia_Testes]],Auxiliar!$B$5:$B$13,0),MATCH(Table1[[#This Row],[Complexidade]],Auxiliar!$D$4:$F$4,0))</f>
        <v>2</v>
      </c>
      <c r="P104" s="2" t="s">
        <v>1207</v>
      </c>
      <c r="Q104" s="2" t="s">
        <v>1204</v>
      </c>
      <c r="R104" s="151">
        <v>45261</v>
      </c>
      <c r="S104" s="151"/>
      <c r="T104" s="151"/>
      <c r="U104" s="151"/>
      <c r="V104" s="151"/>
      <c r="W104" s="2">
        <f>VLOOKUP(Table1[[#This Row],[Status]],Auxiliar!$B$16:$D$24,3,0)*Table1[[#This Row],[Estimação (horas)]]</f>
        <v>2</v>
      </c>
      <c r="X104" s="169"/>
      <c r="Y104" s="166"/>
    </row>
    <row r="105" spans="2:25" ht="17.7"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1190</v>
      </c>
      <c r="L105" s="28" t="s">
        <v>1193</v>
      </c>
      <c r="M105" s="20" t="s">
        <v>1194</v>
      </c>
      <c r="N105" s="47">
        <v>45485</v>
      </c>
      <c r="O105" s="20">
        <f>INDEX(Auxiliar!$D$5:$F$13,MATCH(Table1[[#This Row],[Tipologia_Testes]],Auxiliar!$B$5:$B$13,0),MATCH(Table1[[#This Row],[Complexidade]],Auxiliar!$D$4:$F$4,0))</f>
        <v>0.1</v>
      </c>
      <c r="P105" s="2" t="s">
        <v>1207</v>
      </c>
      <c r="Q105" s="2" t="s">
        <v>1204</v>
      </c>
      <c r="R105" s="151">
        <v>45261</v>
      </c>
      <c r="S105" s="151"/>
      <c r="T105" s="151"/>
      <c r="U105" s="151"/>
      <c r="V105" s="151"/>
      <c r="W105" s="2">
        <f>VLOOKUP(Table1[[#This Row],[Status]],Auxiliar!$B$16:$D$24,3,0)*Table1[[#This Row],[Estimação (horas)]]</f>
        <v>0.1</v>
      </c>
      <c r="X105" s="169"/>
      <c r="Y105" s="166"/>
    </row>
    <row r="106" spans="2:25" ht="17.7"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1187</v>
      </c>
      <c r="L106" s="28" t="s">
        <v>1193</v>
      </c>
      <c r="M106" s="20" t="s">
        <v>1194</v>
      </c>
      <c r="N106" s="47">
        <v>45485</v>
      </c>
      <c r="O106" s="20">
        <f>INDEX(Auxiliar!$D$5:$F$13,MATCH(Table1[[#This Row],[Tipologia_Testes]],Auxiliar!$B$5:$B$13,0),MATCH(Table1[[#This Row],[Complexidade]],Auxiliar!$D$4:$F$4,0))</f>
        <v>2</v>
      </c>
      <c r="P106" s="2" t="s">
        <v>1207</v>
      </c>
      <c r="Q106" s="2" t="s">
        <v>1204</v>
      </c>
      <c r="R106" s="151">
        <v>45261</v>
      </c>
      <c r="S106" s="151"/>
      <c r="T106" s="151"/>
      <c r="U106" s="151"/>
      <c r="V106" s="151"/>
      <c r="W106" s="2">
        <f>VLOOKUP(Table1[[#This Row],[Status]],Auxiliar!$B$16:$D$24,3,0)*Table1[[#This Row],[Estimação (horas)]]</f>
        <v>2</v>
      </c>
      <c r="X106" s="169"/>
      <c r="Y106" s="166"/>
    </row>
    <row r="107" spans="2:25" ht="17.7"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1188</v>
      </c>
      <c r="L107" s="28" t="s">
        <v>1193</v>
      </c>
      <c r="M107" s="20" t="s">
        <v>1194</v>
      </c>
      <c r="N107" s="47">
        <v>45485</v>
      </c>
      <c r="O107" s="20">
        <f>INDEX(Auxiliar!$D$5:$F$13,MATCH(Table1[[#This Row],[Tipologia_Testes]],Auxiliar!$B$5:$B$13,0),MATCH(Table1[[#This Row],[Complexidade]],Auxiliar!$D$4:$F$4,0))</f>
        <v>2</v>
      </c>
      <c r="P107" s="2" t="s">
        <v>1207</v>
      </c>
      <c r="Q107" s="2" t="s">
        <v>1204</v>
      </c>
      <c r="R107" s="151">
        <v>45261</v>
      </c>
      <c r="S107" s="151"/>
      <c r="T107" s="151"/>
      <c r="U107" s="151"/>
      <c r="V107" s="151"/>
      <c r="W107" s="2">
        <f>VLOOKUP(Table1[[#This Row],[Status]],Auxiliar!$B$16:$D$24,3,0)*Table1[[#This Row],[Estimação (horas)]]</f>
        <v>2</v>
      </c>
      <c r="X107" s="169"/>
      <c r="Y107" s="170"/>
    </row>
    <row r="108" spans="2:25" ht="17.7"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1190</v>
      </c>
      <c r="L108" s="28" t="s">
        <v>1193</v>
      </c>
      <c r="M108" s="20" t="s">
        <v>1194</v>
      </c>
      <c r="N108" s="47">
        <v>45485</v>
      </c>
      <c r="O108" s="20">
        <f>INDEX(Auxiliar!$D$5:$F$13,MATCH(Table1[[#This Row],[Tipologia_Testes]],Auxiliar!$B$5:$B$13,0),MATCH(Table1[[#This Row],[Complexidade]],Auxiliar!$D$4:$F$4,0))</f>
        <v>0.1</v>
      </c>
      <c r="P108" s="2" t="s">
        <v>1207</v>
      </c>
      <c r="Q108" s="2" t="s">
        <v>1204</v>
      </c>
      <c r="R108" s="151">
        <v>45261</v>
      </c>
      <c r="S108" s="151"/>
      <c r="T108" s="151"/>
      <c r="U108" s="151"/>
      <c r="V108" s="151"/>
      <c r="W108" s="2">
        <f>VLOOKUP(Table1[[#This Row],[Status]],Auxiliar!$B$16:$D$24,3,0)*Table1[[#This Row],[Estimação (horas)]]</f>
        <v>0.1</v>
      </c>
      <c r="X108" s="169"/>
      <c r="Y108" s="166"/>
    </row>
    <row r="109" spans="2:25" ht="17.7"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1187</v>
      </c>
      <c r="L109" s="28" t="s">
        <v>1193</v>
      </c>
      <c r="M109" s="20" t="s">
        <v>1194</v>
      </c>
      <c r="N109" s="47">
        <v>45485</v>
      </c>
      <c r="O109" s="20">
        <f>INDEX(Auxiliar!$D$5:$F$13,MATCH(Table1[[#This Row],[Tipologia_Testes]],Auxiliar!$B$5:$B$13,0),MATCH(Table1[[#This Row],[Complexidade]],Auxiliar!$D$4:$F$4,0))</f>
        <v>2</v>
      </c>
      <c r="P109" s="2" t="s">
        <v>1207</v>
      </c>
      <c r="Q109" s="2" t="s">
        <v>1204</v>
      </c>
      <c r="R109" s="151">
        <v>45261</v>
      </c>
      <c r="S109" s="151"/>
      <c r="T109" s="151"/>
      <c r="U109" s="151"/>
      <c r="V109" s="151"/>
      <c r="W109" s="2">
        <f>VLOOKUP(Table1[[#This Row],[Status]],Auxiliar!$B$16:$D$24,3,0)*Table1[[#This Row],[Estimação (horas)]]</f>
        <v>2</v>
      </c>
      <c r="X109" s="169"/>
      <c r="Y109" s="166"/>
    </row>
    <row r="110" spans="2:25" ht="17.7"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1188</v>
      </c>
      <c r="L110" s="28" t="s">
        <v>1193</v>
      </c>
      <c r="M110" s="20" t="s">
        <v>1194</v>
      </c>
      <c r="N110" s="47">
        <v>45485</v>
      </c>
      <c r="O110" s="20">
        <f>INDEX(Auxiliar!$D$5:$F$13,MATCH(Table1[[#This Row],[Tipologia_Testes]],Auxiliar!$B$5:$B$13,0),MATCH(Table1[[#This Row],[Complexidade]],Auxiliar!$D$4:$F$4,0))</f>
        <v>2</v>
      </c>
      <c r="P110" s="2" t="s">
        <v>1207</v>
      </c>
      <c r="Q110" s="2" t="s">
        <v>1204</v>
      </c>
      <c r="R110" s="151">
        <v>45261</v>
      </c>
      <c r="S110" s="151"/>
      <c r="T110" s="151"/>
      <c r="U110" s="151"/>
      <c r="V110" s="151"/>
      <c r="W110" s="2">
        <f>VLOOKUP(Table1[[#This Row],[Status]],Auxiliar!$B$16:$D$24,3,0)*Table1[[#This Row],[Estimação (horas)]]</f>
        <v>2</v>
      </c>
      <c r="X110" s="169"/>
      <c r="Y110" s="166"/>
    </row>
    <row r="111" spans="2:25" ht="17.7"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1190</v>
      </c>
      <c r="L111" s="28" t="s">
        <v>1193</v>
      </c>
      <c r="M111" s="20" t="s">
        <v>1194</v>
      </c>
      <c r="N111" s="47">
        <v>45485</v>
      </c>
      <c r="O111" s="20">
        <f>INDEX(Auxiliar!$D$5:$F$13,MATCH(Table1[[#This Row],[Tipologia_Testes]],Auxiliar!$B$5:$B$13,0),MATCH(Table1[[#This Row],[Complexidade]],Auxiliar!$D$4:$F$4,0))</f>
        <v>0.1</v>
      </c>
      <c r="P111" s="2" t="s">
        <v>1207</v>
      </c>
      <c r="Q111" s="2" t="s">
        <v>1204</v>
      </c>
      <c r="R111" s="151">
        <v>45261</v>
      </c>
      <c r="S111" s="151"/>
      <c r="T111" s="151"/>
      <c r="U111" s="151"/>
      <c r="V111" s="151"/>
      <c r="W111" s="2">
        <f>VLOOKUP(Table1[[#This Row],[Status]],Auxiliar!$B$16:$D$24,3,0)*Table1[[#This Row],[Estimação (horas)]]</f>
        <v>0.1</v>
      </c>
      <c r="X111" s="169"/>
      <c r="Y111" s="166"/>
    </row>
    <row r="112" spans="2:25" ht="17.7"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1187</v>
      </c>
      <c r="L112" s="28" t="s">
        <v>1193</v>
      </c>
      <c r="M112" s="20" t="s">
        <v>1194</v>
      </c>
      <c r="N112" s="47">
        <v>45485</v>
      </c>
      <c r="O112" s="20">
        <f>INDEX(Auxiliar!$D$5:$F$13,MATCH(Table1[[#This Row],[Tipologia_Testes]],Auxiliar!$B$5:$B$13,0),MATCH(Table1[[#This Row],[Complexidade]],Auxiliar!$D$4:$F$4,0))</f>
        <v>2</v>
      </c>
      <c r="P112" s="2" t="s">
        <v>1207</v>
      </c>
      <c r="Q112" s="2" t="s">
        <v>1204</v>
      </c>
      <c r="R112" s="151">
        <v>45261</v>
      </c>
      <c r="S112" s="151"/>
      <c r="T112" s="151"/>
      <c r="U112" s="151"/>
      <c r="V112" s="151"/>
      <c r="W112" s="2">
        <f>VLOOKUP(Table1[[#This Row],[Status]],Auxiliar!$B$16:$D$24,3,0)*Table1[[#This Row],[Estimação (horas)]]</f>
        <v>2</v>
      </c>
      <c r="X112" s="169"/>
      <c r="Y112" s="166"/>
    </row>
    <row r="113" spans="2:25" ht="17.7"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1188</v>
      </c>
      <c r="L113" s="28" t="s">
        <v>1193</v>
      </c>
      <c r="M113" s="20" t="s">
        <v>1194</v>
      </c>
      <c r="N113" s="47">
        <v>45485</v>
      </c>
      <c r="O113" s="20">
        <f>INDEX(Auxiliar!$D$5:$F$13,MATCH(Table1[[#This Row],[Tipologia_Testes]],Auxiliar!$B$5:$B$13,0),MATCH(Table1[[#This Row],[Complexidade]],Auxiliar!$D$4:$F$4,0))</f>
        <v>2</v>
      </c>
      <c r="P113" s="2" t="s">
        <v>1207</v>
      </c>
      <c r="Q113" s="2" t="s">
        <v>1204</v>
      </c>
      <c r="R113" s="151">
        <v>45261</v>
      </c>
      <c r="S113" s="151"/>
      <c r="T113" s="151"/>
      <c r="U113" s="151"/>
      <c r="V113" s="151"/>
      <c r="W113" s="2">
        <f>VLOOKUP(Table1[[#This Row],[Status]],Auxiliar!$B$16:$D$24,3,0)*Table1[[#This Row],[Estimação (horas)]]</f>
        <v>2</v>
      </c>
      <c r="X113" s="169"/>
      <c r="Y113" s="166"/>
    </row>
    <row r="114" spans="2:25" ht="17.7"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1190</v>
      </c>
      <c r="L114" s="28" t="s">
        <v>1193</v>
      </c>
      <c r="M114" s="20" t="s">
        <v>1194</v>
      </c>
      <c r="N114" s="47">
        <v>45485</v>
      </c>
      <c r="O114" s="20">
        <f>INDEX(Auxiliar!$D$5:$F$13,MATCH(Table1[[#This Row],[Tipologia_Testes]],Auxiliar!$B$5:$B$13,0),MATCH(Table1[[#This Row],[Complexidade]],Auxiliar!$D$4:$F$4,0))</f>
        <v>0.1</v>
      </c>
      <c r="P114" s="2" t="s">
        <v>1207</v>
      </c>
      <c r="Q114" s="2" t="s">
        <v>1204</v>
      </c>
      <c r="R114" s="151">
        <v>45261</v>
      </c>
      <c r="S114" s="151"/>
      <c r="T114" s="151"/>
      <c r="U114" s="151"/>
      <c r="V114" s="151"/>
      <c r="W114" s="2">
        <f>VLOOKUP(Table1[[#This Row],[Status]],Auxiliar!$B$16:$D$24,3,0)*Table1[[#This Row],[Estimação (horas)]]</f>
        <v>0.1</v>
      </c>
      <c r="X114" s="169"/>
      <c r="Y114" s="166"/>
    </row>
    <row r="115" spans="2:25" ht="17.7"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1187</v>
      </c>
      <c r="L115" s="28" t="s">
        <v>1193</v>
      </c>
      <c r="M115" s="20" t="s">
        <v>1194</v>
      </c>
      <c r="N115" s="47">
        <v>45505</v>
      </c>
      <c r="O115" s="20">
        <f>INDEX(Auxiliar!$D$5:$F$13,MATCH(Table1[[#This Row],[Tipologia_Testes]],Auxiliar!$B$5:$B$13,0),MATCH(Table1[[#This Row],[Complexidade]],Auxiliar!$D$4:$F$4,0))</f>
        <v>2</v>
      </c>
      <c r="P115" s="2"/>
      <c r="Q115" s="2" t="s">
        <v>1204</v>
      </c>
      <c r="R115" s="151">
        <v>45261</v>
      </c>
      <c r="S115" s="151"/>
      <c r="T115" s="151"/>
      <c r="U115" s="151"/>
      <c r="V115" s="151"/>
      <c r="W115" s="2">
        <f>VLOOKUP(Table1[[#This Row],[Status]],Auxiliar!$B$16:$D$24,3,0)*Table1[[#This Row],[Estimação (horas)]]</f>
        <v>2</v>
      </c>
      <c r="X115" s="169"/>
      <c r="Y115" s="166"/>
    </row>
    <row r="116" spans="2:25" ht="17.7"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1188</v>
      </c>
      <c r="L116" s="28" t="s">
        <v>1193</v>
      </c>
      <c r="M116" s="20" t="s">
        <v>1194</v>
      </c>
      <c r="N116" s="47">
        <v>45505</v>
      </c>
      <c r="O116" s="20">
        <f>INDEX(Auxiliar!$D$5:$F$13,MATCH(Table1[[#This Row],[Tipologia_Testes]],Auxiliar!$B$5:$B$13,0),MATCH(Table1[[#This Row],[Complexidade]],Auxiliar!$D$4:$F$4,0))</f>
        <v>2</v>
      </c>
      <c r="P116" s="2"/>
      <c r="Q116" s="2" t="s">
        <v>1204</v>
      </c>
      <c r="R116" s="151">
        <v>45261</v>
      </c>
      <c r="S116" s="151"/>
      <c r="T116" s="151"/>
      <c r="U116" s="151"/>
      <c r="V116" s="151"/>
      <c r="W116" s="2">
        <f>VLOOKUP(Table1[[#This Row],[Status]],Auxiliar!$B$16:$D$24,3,0)*Table1[[#This Row],[Estimação (horas)]]</f>
        <v>2</v>
      </c>
      <c r="X116" s="169"/>
      <c r="Y116" s="166"/>
    </row>
    <row r="117" spans="2:25" ht="17.7"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1190</v>
      </c>
      <c r="L117" s="28" t="s">
        <v>1193</v>
      </c>
      <c r="M117" s="20" t="s">
        <v>1194</v>
      </c>
      <c r="N117" s="47">
        <v>45505</v>
      </c>
      <c r="O117" s="20">
        <f>INDEX(Auxiliar!$D$5:$F$13,MATCH(Table1[[#This Row],[Tipologia_Testes]],Auxiliar!$B$5:$B$13,0),MATCH(Table1[[#This Row],[Complexidade]],Auxiliar!$D$4:$F$4,0))</f>
        <v>0.1</v>
      </c>
      <c r="P117" s="2"/>
      <c r="Q117" s="2" t="s">
        <v>1204</v>
      </c>
      <c r="R117" s="151">
        <v>45261</v>
      </c>
      <c r="S117" s="151"/>
      <c r="T117" s="151"/>
      <c r="U117" s="151"/>
      <c r="V117" s="151"/>
      <c r="W117" s="2">
        <f>VLOOKUP(Table1[[#This Row],[Status]],Auxiliar!$B$16:$D$24,3,0)*Table1[[#This Row],[Estimação (horas)]]</f>
        <v>0.1</v>
      </c>
      <c r="X117" s="169"/>
      <c r="Y117" s="166"/>
    </row>
    <row r="118" spans="2:25" ht="17.7"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1187</v>
      </c>
      <c r="L118" s="28" t="s">
        <v>1193</v>
      </c>
      <c r="M118" s="20" t="s">
        <v>1194</v>
      </c>
      <c r="N118" s="47">
        <v>45485</v>
      </c>
      <c r="O118" s="20">
        <f>INDEX(Auxiliar!$D$5:$F$13,MATCH(Table1[[#This Row],[Tipologia_Testes]],Auxiliar!$B$5:$B$13,0),MATCH(Table1[[#This Row],[Complexidade]],Auxiliar!$D$4:$F$4,0))</f>
        <v>2</v>
      </c>
      <c r="P118" s="2"/>
      <c r="Q118" s="2" t="s">
        <v>1204</v>
      </c>
      <c r="R118" s="151">
        <v>45261</v>
      </c>
      <c r="S118" s="151"/>
      <c r="T118" s="151"/>
      <c r="U118" s="151"/>
      <c r="V118" s="151"/>
      <c r="W118" s="2">
        <f>VLOOKUP(Table1[[#This Row],[Status]],Auxiliar!$B$16:$D$24,3,0)*Table1[[#This Row],[Estimação (horas)]]</f>
        <v>2</v>
      </c>
      <c r="X118" s="2"/>
    </row>
    <row r="119" spans="2:25" ht="17.7"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1188</v>
      </c>
      <c r="L119" s="28" t="s">
        <v>1193</v>
      </c>
      <c r="M119" s="20" t="s">
        <v>1194</v>
      </c>
      <c r="N119" s="47">
        <v>45485</v>
      </c>
      <c r="O119" s="20">
        <f>INDEX(Auxiliar!$D$5:$F$13,MATCH(Table1[[#This Row],[Tipologia_Testes]],Auxiliar!$B$5:$B$13,0),MATCH(Table1[[#This Row],[Complexidade]],Auxiliar!$D$4:$F$4,0))</f>
        <v>2</v>
      </c>
      <c r="P119" s="2"/>
      <c r="Q119" s="2" t="s">
        <v>1204</v>
      </c>
      <c r="R119" s="151">
        <v>45261</v>
      </c>
      <c r="S119" s="151"/>
      <c r="T119" s="151"/>
      <c r="U119" s="151"/>
      <c r="V119" s="151"/>
      <c r="W119" s="2">
        <f>VLOOKUP(Table1[[#This Row],[Status]],Auxiliar!$B$16:$D$24,3,0)*Table1[[#This Row],[Estimação (horas)]]</f>
        <v>2</v>
      </c>
      <c r="X119" s="2"/>
    </row>
    <row r="120" spans="2:25" ht="17.7"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1190</v>
      </c>
      <c r="L120" s="28" t="s">
        <v>1193</v>
      </c>
      <c r="M120" s="20" t="s">
        <v>1194</v>
      </c>
      <c r="N120" s="47">
        <v>45485</v>
      </c>
      <c r="O120" s="20">
        <f>INDEX(Auxiliar!$D$5:$F$13,MATCH(Table1[[#This Row],[Tipologia_Testes]],Auxiliar!$B$5:$B$13,0),MATCH(Table1[[#This Row],[Complexidade]],Auxiliar!$D$4:$F$4,0))</f>
        <v>0.1</v>
      </c>
      <c r="P120" s="2"/>
      <c r="Q120" s="2" t="s">
        <v>1204</v>
      </c>
      <c r="R120" s="151">
        <v>45261</v>
      </c>
      <c r="S120" s="151"/>
      <c r="T120" s="151"/>
      <c r="U120" s="151"/>
      <c r="V120" s="151"/>
      <c r="W120" s="2">
        <f>VLOOKUP(Table1[[#This Row],[Status]],Auxiliar!$B$16:$D$24,3,0)*Table1[[#This Row],[Estimação (horas)]]</f>
        <v>0.1</v>
      </c>
      <c r="X120" s="2"/>
    </row>
    <row r="121" spans="2:25" ht="34.950000000000003"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1187</v>
      </c>
      <c r="L121" s="28" t="s">
        <v>1205</v>
      </c>
      <c r="M121" s="20" t="s">
        <v>1195</v>
      </c>
      <c r="N121" s="47">
        <v>45485</v>
      </c>
      <c r="O121" s="20">
        <f>INDEX(Auxiliar!$D$5:$F$13,MATCH(Table1[[#This Row],[Tipologia_Testes]],Auxiliar!$B$5:$B$13,0),MATCH(Table1[[#This Row],[Complexidade]],Auxiliar!$D$4:$F$4,0))</f>
        <v>4</v>
      </c>
      <c r="P121" s="22" t="s">
        <v>1208</v>
      </c>
      <c r="Q121" s="2" t="s">
        <v>1204</v>
      </c>
      <c r="R121" s="151">
        <v>45425</v>
      </c>
      <c r="S121" s="151"/>
      <c r="T121" s="151"/>
      <c r="U121" s="151"/>
      <c r="V121" s="151"/>
      <c r="W121" s="2">
        <f>VLOOKUP(Table1[[#This Row],[Status]],Auxiliar!$B$16:$D$24,3,0)*Table1[[#This Row],[Estimação (horas)]]</f>
        <v>0</v>
      </c>
      <c r="X121" s="2"/>
    </row>
    <row r="122" spans="2:25" ht="17.7"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1187</v>
      </c>
      <c r="L122" s="28" t="s">
        <v>1193</v>
      </c>
      <c r="M122" s="20" t="s">
        <v>1194</v>
      </c>
      <c r="N122" s="47">
        <v>45505</v>
      </c>
      <c r="O122" s="20">
        <f>INDEX(Auxiliar!$D$5:$F$13,MATCH(Table1[[#This Row],[Tipologia_Testes]],Auxiliar!$B$5:$B$13,0),MATCH(Table1[[#This Row],[Complexidade]],Auxiliar!$D$4:$F$4,0))</f>
        <v>2</v>
      </c>
      <c r="P122" s="2"/>
      <c r="Q122" s="2" t="s">
        <v>1204</v>
      </c>
      <c r="R122" s="151">
        <v>45261</v>
      </c>
      <c r="S122" s="151"/>
      <c r="T122" s="151"/>
      <c r="U122" s="151"/>
      <c r="V122" s="151"/>
      <c r="W122" s="2">
        <f>VLOOKUP(Table1[[#This Row],[Status]],Auxiliar!$B$16:$D$24,3,0)*Table1[[#This Row],[Estimação (horas)]]</f>
        <v>2</v>
      </c>
      <c r="X122" s="2"/>
    </row>
    <row r="123" spans="2:25" ht="17.7"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1188</v>
      </c>
      <c r="L123" s="28" t="s">
        <v>1193</v>
      </c>
      <c r="M123" s="20" t="s">
        <v>1194</v>
      </c>
      <c r="N123" s="47">
        <v>45505</v>
      </c>
      <c r="O123" s="20">
        <f>INDEX(Auxiliar!$D$5:$F$13,MATCH(Table1[[#This Row],[Tipologia_Testes]],Auxiliar!$B$5:$B$13,0),MATCH(Table1[[#This Row],[Complexidade]],Auxiliar!$D$4:$F$4,0))</f>
        <v>2</v>
      </c>
      <c r="P123" s="2"/>
      <c r="Q123" s="2" t="s">
        <v>1204</v>
      </c>
      <c r="R123" s="151">
        <v>45261</v>
      </c>
      <c r="S123" s="151"/>
      <c r="T123" s="151"/>
      <c r="U123" s="151"/>
      <c r="V123" s="151"/>
      <c r="W123" s="2">
        <f>VLOOKUP(Table1[[#This Row],[Status]],Auxiliar!$B$16:$D$24,3,0)*Table1[[#This Row],[Estimação (horas)]]</f>
        <v>2</v>
      </c>
      <c r="X123" s="2"/>
    </row>
    <row r="124" spans="2:25" ht="17.7"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1190</v>
      </c>
      <c r="L124" s="28" t="s">
        <v>1193</v>
      </c>
      <c r="M124" s="20" t="s">
        <v>1194</v>
      </c>
      <c r="N124" s="47">
        <v>45505</v>
      </c>
      <c r="O124" s="20">
        <f>INDEX(Auxiliar!$D$5:$F$13,MATCH(Table1[[#This Row],[Tipologia_Testes]],Auxiliar!$B$5:$B$13,0),MATCH(Table1[[#This Row],[Complexidade]],Auxiliar!$D$4:$F$4,0))</f>
        <v>0.1</v>
      </c>
      <c r="P124" s="2"/>
      <c r="Q124" s="2" t="s">
        <v>1204</v>
      </c>
      <c r="R124" s="151">
        <v>45261</v>
      </c>
      <c r="S124" s="151"/>
      <c r="T124" s="151"/>
      <c r="U124" s="151"/>
      <c r="V124" s="151"/>
      <c r="W124" s="2">
        <f>VLOOKUP(Table1[[#This Row],[Status]],Auxiliar!$B$16:$D$24,3,0)*Table1[[#This Row],[Estimação (horas)]]</f>
        <v>0.1</v>
      </c>
      <c r="X124" s="2"/>
    </row>
    <row r="125" spans="2:25" ht="17.7"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1187</v>
      </c>
      <c r="L125" s="28" t="s">
        <v>1193</v>
      </c>
      <c r="M125" s="20" t="s">
        <v>1194</v>
      </c>
      <c r="N125" s="47">
        <v>45505</v>
      </c>
      <c r="O125" s="20">
        <f>INDEX(Auxiliar!$D$5:$F$13,MATCH(Table1[[#This Row],[Tipologia_Testes]],Auxiliar!$B$5:$B$13,0),MATCH(Table1[[#This Row],[Complexidade]],Auxiliar!$D$4:$F$4,0))</f>
        <v>2</v>
      </c>
      <c r="P125" s="2"/>
      <c r="Q125" s="2" t="s">
        <v>1204</v>
      </c>
      <c r="R125" s="151">
        <v>45261</v>
      </c>
      <c r="S125" s="151"/>
      <c r="T125" s="151"/>
      <c r="U125" s="151"/>
      <c r="V125" s="151"/>
      <c r="W125" s="2">
        <f>VLOOKUP(Table1[[#This Row],[Status]],Auxiliar!$B$16:$D$24,3,0)*Table1[[#This Row],[Estimação (horas)]]</f>
        <v>2</v>
      </c>
      <c r="X125" s="2"/>
    </row>
    <row r="126" spans="2:25" ht="17.7"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1188</v>
      </c>
      <c r="L126" s="28" t="s">
        <v>1193</v>
      </c>
      <c r="M126" s="20" t="s">
        <v>1194</v>
      </c>
      <c r="N126" s="47">
        <v>45505</v>
      </c>
      <c r="O126" s="20">
        <f>INDEX(Auxiliar!$D$5:$F$13,MATCH(Table1[[#This Row],[Tipologia_Testes]],Auxiliar!$B$5:$B$13,0),MATCH(Table1[[#This Row],[Complexidade]],Auxiliar!$D$4:$F$4,0))</f>
        <v>2</v>
      </c>
      <c r="P126" s="2"/>
      <c r="Q126" s="2" t="s">
        <v>1204</v>
      </c>
      <c r="R126" s="151">
        <v>45261</v>
      </c>
      <c r="S126" s="151"/>
      <c r="T126" s="151"/>
      <c r="U126" s="151"/>
      <c r="V126" s="151"/>
      <c r="W126" s="2">
        <f>VLOOKUP(Table1[[#This Row],[Status]],Auxiliar!$B$16:$D$24,3,0)*Table1[[#This Row],[Estimação (horas)]]</f>
        <v>2</v>
      </c>
      <c r="X126" s="2"/>
    </row>
    <row r="127" spans="2:25" ht="17.7"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1190</v>
      </c>
      <c r="L127" s="28" t="s">
        <v>1193</v>
      </c>
      <c r="M127" s="20" t="s">
        <v>1194</v>
      </c>
      <c r="N127" s="47">
        <v>45505</v>
      </c>
      <c r="O127" s="20">
        <f>INDEX(Auxiliar!$D$5:$F$13,MATCH(Table1[[#This Row],[Tipologia_Testes]],Auxiliar!$B$5:$B$13,0),MATCH(Table1[[#This Row],[Complexidade]],Auxiliar!$D$4:$F$4,0))</f>
        <v>0.1</v>
      </c>
      <c r="P127" s="2"/>
      <c r="Q127" s="2" t="s">
        <v>1204</v>
      </c>
      <c r="R127" s="151">
        <v>45261</v>
      </c>
      <c r="S127" s="151"/>
      <c r="T127" s="151"/>
      <c r="U127" s="151"/>
      <c r="V127" s="151"/>
      <c r="W127" s="2">
        <f>VLOOKUP(Table1[[#This Row],[Status]],Auxiliar!$B$16:$D$24,3,0)*Table1[[#This Row],[Estimação (horas)]]</f>
        <v>0.1</v>
      </c>
      <c r="X127" s="2"/>
    </row>
    <row r="128" spans="2:25" ht="17.7"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1187</v>
      </c>
      <c r="L128" s="28" t="s">
        <v>1193</v>
      </c>
      <c r="M128" s="20" t="s">
        <v>1194</v>
      </c>
      <c r="N128" s="47">
        <v>45490</v>
      </c>
      <c r="O128" s="20">
        <f>INDEX(Auxiliar!$D$5:$F$13,MATCH(Table1[[#This Row],[Tipologia_Testes]],Auxiliar!$B$5:$B$13,0),MATCH(Table1[[#This Row],[Complexidade]],Auxiliar!$D$4:$F$4,0))</f>
        <v>2</v>
      </c>
      <c r="P128" s="2"/>
      <c r="Q128" s="2" t="s">
        <v>1204</v>
      </c>
      <c r="R128" s="151">
        <v>45261</v>
      </c>
      <c r="S128" s="151"/>
      <c r="T128" s="151"/>
      <c r="U128" s="151"/>
      <c r="V128" s="151"/>
      <c r="W128" s="2">
        <f>VLOOKUP(Table1[[#This Row],[Status]],Auxiliar!$B$16:$D$24,3,0)*Table1[[#This Row],[Estimação (horas)]]</f>
        <v>2</v>
      </c>
      <c r="X128" s="2"/>
    </row>
    <row r="129" spans="2:24" ht="17.7"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1188</v>
      </c>
      <c r="L129" s="28" t="s">
        <v>1193</v>
      </c>
      <c r="M129" s="20" t="s">
        <v>1194</v>
      </c>
      <c r="N129" s="47">
        <v>45490</v>
      </c>
      <c r="O129" s="20">
        <f>INDEX(Auxiliar!$D$5:$F$13,MATCH(Table1[[#This Row],[Tipologia_Testes]],Auxiliar!$B$5:$B$13,0),MATCH(Table1[[#This Row],[Complexidade]],Auxiliar!$D$4:$F$4,0))</f>
        <v>2</v>
      </c>
      <c r="P129" s="2"/>
      <c r="Q129" s="2" t="s">
        <v>1204</v>
      </c>
      <c r="R129" s="151">
        <v>45261</v>
      </c>
      <c r="S129" s="151"/>
      <c r="T129" s="151"/>
      <c r="U129" s="151"/>
      <c r="V129" s="151"/>
      <c r="W129" s="2">
        <f>VLOOKUP(Table1[[#This Row],[Status]],Auxiliar!$B$16:$D$24,3,0)*Table1[[#This Row],[Estimação (horas)]]</f>
        <v>2</v>
      </c>
      <c r="X129" s="2"/>
    </row>
    <row r="130" spans="2:24" ht="17.7"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1190</v>
      </c>
      <c r="L130" s="28" t="s">
        <v>1193</v>
      </c>
      <c r="M130" s="20" t="s">
        <v>1194</v>
      </c>
      <c r="N130" s="47">
        <v>45490</v>
      </c>
      <c r="O130" s="20">
        <f>INDEX(Auxiliar!$D$5:$F$13,MATCH(Table1[[#This Row],[Tipologia_Testes]],Auxiliar!$B$5:$B$13,0),MATCH(Table1[[#This Row],[Complexidade]],Auxiliar!$D$4:$F$4,0))</f>
        <v>0.1</v>
      </c>
      <c r="P130" s="2"/>
      <c r="Q130" s="2" t="s">
        <v>1204</v>
      </c>
      <c r="R130" s="151">
        <v>45261</v>
      </c>
      <c r="S130" s="151"/>
      <c r="T130" s="151"/>
      <c r="U130" s="151"/>
      <c r="V130" s="151"/>
      <c r="W130" s="2">
        <f>VLOOKUP(Table1[[#This Row],[Status]],Auxiliar!$B$16:$D$24,3,0)*Table1[[#This Row],[Estimação (horas)]]</f>
        <v>0.1</v>
      </c>
      <c r="X130" s="2"/>
    </row>
    <row r="131" spans="2:24" ht="17.7"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1187</v>
      </c>
      <c r="L131" s="28" t="s">
        <v>1193</v>
      </c>
      <c r="M131" s="20" t="s">
        <v>1194</v>
      </c>
      <c r="N131" s="47">
        <v>45485</v>
      </c>
      <c r="O131" s="20">
        <f>INDEX(Auxiliar!$D$5:$F$13,MATCH(Table1[[#This Row],[Tipologia_Testes]],Auxiliar!$B$5:$B$13,0),MATCH(Table1[[#This Row],[Complexidade]],Auxiliar!$D$4:$F$4,0))</f>
        <v>2</v>
      </c>
      <c r="P131" s="2"/>
      <c r="Q131" s="2" t="s">
        <v>1204</v>
      </c>
      <c r="R131" s="151">
        <v>45261</v>
      </c>
      <c r="S131" s="151"/>
      <c r="T131" s="151"/>
      <c r="U131" s="151"/>
      <c r="V131" s="151"/>
      <c r="W131" s="2">
        <f>VLOOKUP(Table1[[#This Row],[Status]],Auxiliar!$B$16:$D$24,3,0)*Table1[[#This Row],[Estimação (horas)]]</f>
        <v>2</v>
      </c>
      <c r="X131" s="2"/>
    </row>
    <row r="132" spans="2:24" ht="17.7"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1188</v>
      </c>
      <c r="L132" s="28" t="s">
        <v>1193</v>
      </c>
      <c r="M132" s="20" t="s">
        <v>1194</v>
      </c>
      <c r="N132" s="47">
        <v>45485</v>
      </c>
      <c r="O132" s="20">
        <f>INDEX(Auxiliar!$D$5:$F$13,MATCH(Table1[[#This Row],[Tipologia_Testes]],Auxiliar!$B$5:$B$13,0),MATCH(Table1[[#This Row],[Complexidade]],Auxiliar!$D$4:$F$4,0))</f>
        <v>2</v>
      </c>
      <c r="P132" s="2"/>
      <c r="Q132" s="2" t="s">
        <v>1204</v>
      </c>
      <c r="R132" s="151">
        <v>45261</v>
      </c>
      <c r="S132" s="151"/>
      <c r="T132" s="151"/>
      <c r="U132" s="151"/>
      <c r="V132" s="151"/>
      <c r="W132" s="2">
        <f>VLOOKUP(Table1[[#This Row],[Status]],Auxiliar!$B$16:$D$24,3,0)*Table1[[#This Row],[Estimação (horas)]]</f>
        <v>2</v>
      </c>
      <c r="X132" s="2"/>
    </row>
    <row r="133" spans="2:24" ht="17.7"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1190</v>
      </c>
      <c r="L133" s="28" t="s">
        <v>1193</v>
      </c>
      <c r="M133" s="20" t="s">
        <v>1194</v>
      </c>
      <c r="N133" s="47">
        <v>45485</v>
      </c>
      <c r="O133" s="20">
        <f>INDEX(Auxiliar!$D$5:$F$13,MATCH(Table1[[#This Row],[Tipologia_Testes]],Auxiliar!$B$5:$B$13,0),MATCH(Table1[[#This Row],[Complexidade]],Auxiliar!$D$4:$F$4,0))</f>
        <v>0.1</v>
      </c>
      <c r="P133" s="2"/>
      <c r="Q133" s="2" t="s">
        <v>1204</v>
      </c>
      <c r="R133" s="151">
        <v>45261</v>
      </c>
      <c r="S133" s="151"/>
      <c r="T133" s="151"/>
      <c r="U133" s="151"/>
      <c r="V133" s="151"/>
      <c r="W133" s="2">
        <f>VLOOKUP(Table1[[#This Row],[Status]],Auxiliar!$B$16:$D$24,3,0)*Table1[[#This Row],[Estimação (horas)]]</f>
        <v>0.1</v>
      </c>
      <c r="X133" s="2"/>
    </row>
    <row r="134" spans="2:24" ht="17.7"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1187</v>
      </c>
      <c r="L134" s="28" t="s">
        <v>1193</v>
      </c>
      <c r="M134" s="20" t="s">
        <v>1194</v>
      </c>
      <c r="N134" s="47">
        <v>45485</v>
      </c>
      <c r="O134" s="20">
        <f>INDEX(Auxiliar!$D$5:$F$13,MATCH(Table1[[#This Row],[Tipologia_Testes]],Auxiliar!$B$5:$B$13,0),MATCH(Table1[[#This Row],[Complexidade]],Auxiliar!$D$4:$F$4,0))</f>
        <v>2</v>
      </c>
      <c r="P134" s="2"/>
      <c r="Q134" s="2" t="s">
        <v>1204</v>
      </c>
      <c r="R134" s="151">
        <v>45261</v>
      </c>
      <c r="S134" s="151"/>
      <c r="T134" s="151"/>
      <c r="U134" s="151"/>
      <c r="V134" s="151"/>
      <c r="W134" s="2">
        <f>VLOOKUP(Table1[[#This Row],[Status]],Auxiliar!$B$16:$D$24,3,0)*Table1[[#This Row],[Estimação (horas)]]</f>
        <v>2</v>
      </c>
      <c r="X134" s="2"/>
    </row>
    <row r="135" spans="2:24" ht="17.7"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1188</v>
      </c>
      <c r="L135" s="28" t="s">
        <v>1193</v>
      </c>
      <c r="M135" s="20" t="s">
        <v>1194</v>
      </c>
      <c r="N135" s="47">
        <v>45485</v>
      </c>
      <c r="O135" s="20">
        <f>INDEX(Auxiliar!$D$5:$F$13,MATCH(Table1[[#This Row],[Tipologia_Testes]],Auxiliar!$B$5:$B$13,0),MATCH(Table1[[#This Row],[Complexidade]],Auxiliar!$D$4:$F$4,0))</f>
        <v>2</v>
      </c>
      <c r="P135" s="2"/>
      <c r="Q135" s="2" t="s">
        <v>1204</v>
      </c>
      <c r="R135" s="151">
        <v>45261</v>
      </c>
      <c r="S135" s="151"/>
      <c r="T135" s="151"/>
      <c r="U135" s="151"/>
      <c r="V135" s="151"/>
      <c r="W135" s="2">
        <f>VLOOKUP(Table1[[#This Row],[Status]],Auxiliar!$B$16:$D$24,3,0)*Table1[[#This Row],[Estimação (horas)]]</f>
        <v>2</v>
      </c>
      <c r="X135" s="2"/>
    </row>
    <row r="136" spans="2:24" ht="17.7"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1190</v>
      </c>
      <c r="L136" s="28" t="s">
        <v>1193</v>
      </c>
      <c r="M136" s="20" t="s">
        <v>1194</v>
      </c>
      <c r="N136" s="47">
        <v>45485</v>
      </c>
      <c r="O136" s="20">
        <f>INDEX(Auxiliar!$D$5:$F$13,MATCH(Table1[[#This Row],[Tipologia_Testes]],Auxiliar!$B$5:$B$13,0),MATCH(Table1[[#This Row],[Complexidade]],Auxiliar!$D$4:$F$4,0))</f>
        <v>0.1</v>
      </c>
      <c r="P136" s="2"/>
      <c r="Q136" s="2" t="s">
        <v>1204</v>
      </c>
      <c r="R136" s="151">
        <v>45261</v>
      </c>
      <c r="S136" s="151"/>
      <c r="T136" s="151"/>
      <c r="U136" s="151"/>
      <c r="V136" s="151"/>
      <c r="W136" s="2">
        <f>VLOOKUP(Table1[[#This Row],[Status]],Auxiliar!$B$16:$D$24,3,0)*Table1[[#This Row],[Estimação (horas)]]</f>
        <v>0.1</v>
      </c>
      <c r="X136" s="2"/>
    </row>
    <row r="137" spans="2:24" ht="17.7"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1187</v>
      </c>
      <c r="L137" s="28" t="s">
        <v>1193</v>
      </c>
      <c r="M137" s="20" t="s">
        <v>1194</v>
      </c>
      <c r="N137" s="47">
        <v>45505</v>
      </c>
      <c r="O137" s="20">
        <f>INDEX(Auxiliar!$D$5:$F$13,MATCH(Table1[[#This Row],[Tipologia_Testes]],Auxiliar!$B$5:$B$13,0),MATCH(Table1[[#This Row],[Complexidade]],Auxiliar!$D$4:$F$4,0))</f>
        <v>2</v>
      </c>
      <c r="P137" s="2"/>
      <c r="Q137" s="2" t="s">
        <v>1204</v>
      </c>
      <c r="R137" s="151">
        <v>45261</v>
      </c>
      <c r="S137" s="151"/>
      <c r="T137" s="151"/>
      <c r="U137" s="151"/>
      <c r="V137" s="151"/>
      <c r="W137" s="2">
        <f>VLOOKUP(Table1[[#This Row],[Status]],Auxiliar!$B$16:$D$24,3,0)*Table1[[#This Row],[Estimação (horas)]]</f>
        <v>2</v>
      </c>
      <c r="X137" s="2"/>
    </row>
    <row r="138" spans="2:24" ht="17.7"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1188</v>
      </c>
      <c r="L138" s="28" t="s">
        <v>1193</v>
      </c>
      <c r="M138" s="20" t="s">
        <v>1194</v>
      </c>
      <c r="N138" s="47">
        <v>45505</v>
      </c>
      <c r="O138" s="20">
        <f>INDEX(Auxiliar!$D$5:$F$13,MATCH(Table1[[#This Row],[Tipologia_Testes]],Auxiliar!$B$5:$B$13,0),MATCH(Table1[[#This Row],[Complexidade]],Auxiliar!$D$4:$F$4,0))</f>
        <v>2</v>
      </c>
      <c r="P138" s="2"/>
      <c r="Q138" s="2" t="s">
        <v>1204</v>
      </c>
      <c r="R138" s="151">
        <v>45261</v>
      </c>
      <c r="S138" s="151"/>
      <c r="T138" s="151"/>
      <c r="U138" s="151"/>
      <c r="V138" s="151"/>
      <c r="W138" s="2">
        <f>VLOOKUP(Table1[[#This Row],[Status]],Auxiliar!$B$16:$D$24,3,0)*Table1[[#This Row],[Estimação (horas)]]</f>
        <v>2</v>
      </c>
      <c r="X138" s="2"/>
    </row>
    <row r="139" spans="2:24" ht="17.7"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1190</v>
      </c>
      <c r="L139" s="28" t="s">
        <v>1193</v>
      </c>
      <c r="M139" s="20" t="s">
        <v>1194</v>
      </c>
      <c r="N139" s="47">
        <v>45505</v>
      </c>
      <c r="O139" s="20">
        <f>INDEX(Auxiliar!$D$5:$F$13,MATCH(Table1[[#This Row],[Tipologia_Testes]],Auxiliar!$B$5:$B$13,0),MATCH(Table1[[#This Row],[Complexidade]],Auxiliar!$D$4:$F$4,0))</f>
        <v>0.1</v>
      </c>
      <c r="P139" s="2"/>
      <c r="Q139" s="2" t="s">
        <v>1204</v>
      </c>
      <c r="R139" s="151">
        <v>45261</v>
      </c>
      <c r="S139" s="151"/>
      <c r="T139" s="151"/>
      <c r="U139" s="151"/>
      <c r="V139" s="151"/>
      <c r="W139" s="2">
        <f>VLOOKUP(Table1[[#This Row],[Status]],Auxiliar!$B$16:$D$24,3,0)*Table1[[#This Row],[Estimação (horas)]]</f>
        <v>0.1</v>
      </c>
      <c r="X139" s="2"/>
    </row>
    <row r="140" spans="2:24" ht="17.7"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1187</v>
      </c>
      <c r="L140" s="28" t="s">
        <v>1193</v>
      </c>
      <c r="M140" s="20" t="s">
        <v>1194</v>
      </c>
      <c r="N140" s="47">
        <v>45505</v>
      </c>
      <c r="O140" s="20">
        <f>INDEX(Auxiliar!$D$5:$F$13,MATCH(Table1[[#This Row],[Tipologia_Testes]],Auxiliar!$B$5:$B$13,0),MATCH(Table1[[#This Row],[Complexidade]],Auxiliar!$D$4:$F$4,0))</f>
        <v>2</v>
      </c>
      <c r="P140" s="2"/>
      <c r="Q140" s="2" t="s">
        <v>1204</v>
      </c>
      <c r="R140" s="151">
        <v>45261</v>
      </c>
      <c r="S140" s="151"/>
      <c r="T140" s="151"/>
      <c r="U140" s="151"/>
      <c r="V140" s="151"/>
      <c r="W140" s="2">
        <f>VLOOKUP(Table1[[#This Row],[Status]],Auxiliar!$B$16:$D$24,3,0)*Table1[[#This Row],[Estimação (horas)]]</f>
        <v>2</v>
      </c>
      <c r="X140" s="2"/>
    </row>
    <row r="141" spans="2:24" ht="17.7"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1188</v>
      </c>
      <c r="L141" s="28" t="s">
        <v>1193</v>
      </c>
      <c r="M141" s="20" t="s">
        <v>1194</v>
      </c>
      <c r="N141" s="47">
        <v>45505</v>
      </c>
      <c r="O141" s="20">
        <f>INDEX(Auxiliar!$D$5:$F$13,MATCH(Table1[[#This Row],[Tipologia_Testes]],Auxiliar!$B$5:$B$13,0),MATCH(Table1[[#This Row],[Complexidade]],Auxiliar!$D$4:$F$4,0))</f>
        <v>2</v>
      </c>
      <c r="P141" s="2"/>
      <c r="Q141" s="2" t="s">
        <v>1204</v>
      </c>
      <c r="R141" s="151">
        <v>45261</v>
      </c>
      <c r="S141" s="151"/>
      <c r="T141" s="151"/>
      <c r="U141" s="151"/>
      <c r="V141" s="151"/>
      <c r="W141" s="2">
        <f>VLOOKUP(Table1[[#This Row],[Status]],Auxiliar!$B$16:$D$24,3,0)*Table1[[#This Row],[Estimação (horas)]]</f>
        <v>2</v>
      </c>
      <c r="X141" s="2"/>
    </row>
    <row r="142" spans="2:24" ht="17.7"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1190</v>
      </c>
      <c r="L142" s="28" t="s">
        <v>1193</v>
      </c>
      <c r="M142" s="20" t="s">
        <v>1194</v>
      </c>
      <c r="N142" s="47">
        <v>45505</v>
      </c>
      <c r="O142" s="20">
        <f>INDEX(Auxiliar!$D$5:$F$13,MATCH(Table1[[#This Row],[Tipologia_Testes]],Auxiliar!$B$5:$B$13,0),MATCH(Table1[[#This Row],[Complexidade]],Auxiliar!$D$4:$F$4,0))</f>
        <v>0.1</v>
      </c>
      <c r="P142" s="2"/>
      <c r="Q142" s="2" t="s">
        <v>1204</v>
      </c>
      <c r="R142" s="151">
        <v>45261</v>
      </c>
      <c r="S142" s="151"/>
      <c r="T142" s="151"/>
      <c r="U142" s="151"/>
      <c r="V142" s="151"/>
      <c r="W142" s="2">
        <f>VLOOKUP(Table1[[#This Row],[Status]],Auxiliar!$B$16:$D$24,3,0)*Table1[[#This Row],[Estimação (horas)]]</f>
        <v>0.1</v>
      </c>
      <c r="X142" s="2"/>
    </row>
    <row r="143" spans="2:24" ht="17.7"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1187</v>
      </c>
      <c r="L143" s="28" t="s">
        <v>1193</v>
      </c>
      <c r="M143" s="20" t="s">
        <v>1194</v>
      </c>
      <c r="N143" s="47">
        <v>45485</v>
      </c>
      <c r="O143" s="20">
        <f>INDEX(Auxiliar!$D$5:$F$13,MATCH(Table1[[#This Row],[Tipologia_Testes]],Auxiliar!$B$5:$B$13,0),MATCH(Table1[[#This Row],[Complexidade]],Auxiliar!$D$4:$F$4,0))</f>
        <v>2</v>
      </c>
      <c r="P143" s="2"/>
      <c r="Q143" s="2" t="s">
        <v>1204</v>
      </c>
      <c r="R143" s="151">
        <v>45261</v>
      </c>
      <c r="S143" s="151"/>
      <c r="T143" s="151"/>
      <c r="U143" s="151"/>
      <c r="V143" s="151"/>
      <c r="W143" s="2">
        <f>VLOOKUP(Table1[[#This Row],[Status]],Auxiliar!$B$16:$D$24,3,0)*Table1[[#This Row],[Estimação (horas)]]</f>
        <v>2</v>
      </c>
      <c r="X143" s="2"/>
    </row>
    <row r="144" spans="2:24" ht="17.7"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1188</v>
      </c>
      <c r="L144" s="28" t="s">
        <v>1193</v>
      </c>
      <c r="M144" s="20" t="s">
        <v>1194</v>
      </c>
      <c r="N144" s="47">
        <v>45485</v>
      </c>
      <c r="O144" s="20">
        <f>INDEX(Auxiliar!$D$5:$F$13,MATCH(Table1[[#This Row],[Tipologia_Testes]],Auxiliar!$B$5:$B$13,0),MATCH(Table1[[#This Row],[Complexidade]],Auxiliar!$D$4:$F$4,0))</f>
        <v>2</v>
      </c>
      <c r="P144" s="2"/>
      <c r="Q144" s="2" t="s">
        <v>1204</v>
      </c>
      <c r="R144" s="151">
        <v>45261</v>
      </c>
      <c r="S144" s="151"/>
      <c r="T144" s="151"/>
      <c r="U144" s="151"/>
      <c r="V144" s="151"/>
      <c r="W144" s="2">
        <f>VLOOKUP(Table1[[#This Row],[Status]],Auxiliar!$B$16:$D$24,3,0)*Table1[[#This Row],[Estimação (horas)]]</f>
        <v>2</v>
      </c>
      <c r="X144" s="2"/>
    </row>
    <row r="145" spans="2:24" ht="17.7"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1190</v>
      </c>
      <c r="L145" s="28" t="s">
        <v>1193</v>
      </c>
      <c r="M145" s="20" t="s">
        <v>1194</v>
      </c>
      <c r="N145" s="47">
        <v>45485</v>
      </c>
      <c r="O145" s="20">
        <f>INDEX(Auxiliar!$D$5:$F$13,MATCH(Table1[[#This Row],[Tipologia_Testes]],Auxiliar!$B$5:$B$13,0),MATCH(Table1[[#This Row],[Complexidade]],Auxiliar!$D$4:$F$4,0))</f>
        <v>0.1</v>
      </c>
      <c r="P145" s="2"/>
      <c r="Q145" s="2" t="s">
        <v>1204</v>
      </c>
      <c r="R145" s="151">
        <v>45261</v>
      </c>
      <c r="S145" s="151"/>
      <c r="T145" s="151"/>
      <c r="U145" s="151"/>
      <c r="V145" s="151"/>
      <c r="W145" s="2">
        <f>VLOOKUP(Table1[[#This Row],[Status]],Auxiliar!$B$16:$D$24,3,0)*Table1[[#This Row],[Estimação (horas)]]</f>
        <v>0.1</v>
      </c>
      <c r="X145" s="2"/>
    </row>
    <row r="146" spans="2:24" ht="17.7"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1187</v>
      </c>
      <c r="L146" s="28" t="s">
        <v>1193</v>
      </c>
      <c r="M146" s="20" t="s">
        <v>1194</v>
      </c>
      <c r="N146" s="47">
        <v>45490</v>
      </c>
      <c r="O146" s="20">
        <f>INDEX(Auxiliar!$D$5:$F$13,MATCH(Table1[[#This Row],[Tipologia_Testes]],Auxiliar!$B$5:$B$13,0),MATCH(Table1[[#This Row],[Complexidade]],Auxiliar!$D$4:$F$4,0))</f>
        <v>2</v>
      </c>
      <c r="P146" s="2"/>
      <c r="Q146" s="2" t="s">
        <v>1204</v>
      </c>
      <c r="R146" s="151">
        <v>45261</v>
      </c>
      <c r="S146" s="151"/>
      <c r="T146" s="151"/>
      <c r="U146" s="151"/>
      <c r="V146" s="151"/>
      <c r="W146" s="2">
        <f>VLOOKUP(Table1[[#This Row],[Status]],Auxiliar!$B$16:$D$24,3,0)*Table1[[#This Row],[Estimação (horas)]]</f>
        <v>2</v>
      </c>
      <c r="X146" s="2"/>
    </row>
    <row r="147" spans="2:24" ht="17.7"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1188</v>
      </c>
      <c r="L147" s="28" t="s">
        <v>1193</v>
      </c>
      <c r="M147" s="20" t="s">
        <v>1194</v>
      </c>
      <c r="N147" s="47">
        <v>45490</v>
      </c>
      <c r="O147" s="20">
        <f>INDEX(Auxiliar!$D$5:$F$13,MATCH(Table1[[#This Row],[Tipologia_Testes]],Auxiliar!$B$5:$B$13,0),MATCH(Table1[[#This Row],[Complexidade]],Auxiliar!$D$4:$F$4,0))</f>
        <v>2</v>
      </c>
      <c r="P147" s="2"/>
      <c r="Q147" s="2" t="s">
        <v>1204</v>
      </c>
      <c r="R147" s="151">
        <v>45261</v>
      </c>
      <c r="S147" s="151"/>
      <c r="T147" s="151"/>
      <c r="U147" s="151"/>
      <c r="V147" s="151"/>
      <c r="W147" s="2">
        <f>VLOOKUP(Table1[[#This Row],[Status]],Auxiliar!$B$16:$D$24,3,0)*Table1[[#This Row],[Estimação (horas)]]</f>
        <v>2</v>
      </c>
      <c r="X147" s="2"/>
    </row>
    <row r="148" spans="2:24" ht="17.7"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1190</v>
      </c>
      <c r="L148" s="28" t="s">
        <v>1193</v>
      </c>
      <c r="M148" s="20" t="s">
        <v>1194</v>
      </c>
      <c r="N148" s="47">
        <v>45490</v>
      </c>
      <c r="O148" s="20">
        <f>INDEX(Auxiliar!$D$5:$F$13,MATCH(Table1[[#This Row],[Tipologia_Testes]],Auxiliar!$B$5:$B$13,0),MATCH(Table1[[#This Row],[Complexidade]],Auxiliar!$D$4:$F$4,0))</f>
        <v>0.1</v>
      </c>
      <c r="P148" s="2"/>
      <c r="Q148" s="2" t="s">
        <v>1204</v>
      </c>
      <c r="R148" s="151">
        <v>45261</v>
      </c>
      <c r="S148" s="151"/>
      <c r="T148" s="151"/>
      <c r="U148" s="151"/>
      <c r="V148" s="151"/>
      <c r="W148" s="2">
        <f>VLOOKUP(Table1[[#This Row],[Status]],Auxiliar!$B$16:$D$24,3,0)*Table1[[#This Row],[Estimação (horas)]]</f>
        <v>0.1</v>
      </c>
      <c r="X148" s="2"/>
    </row>
    <row r="149" spans="2:24" ht="17.7"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1187</v>
      </c>
      <c r="L149" s="28" t="s">
        <v>1193</v>
      </c>
      <c r="M149" s="20" t="s">
        <v>1194</v>
      </c>
      <c r="N149" s="47">
        <v>45485</v>
      </c>
      <c r="O149" s="20">
        <f>INDEX(Auxiliar!$D$5:$F$13,MATCH(Table1[[#This Row],[Tipologia_Testes]],Auxiliar!$B$5:$B$13,0),MATCH(Table1[[#This Row],[Complexidade]],Auxiliar!$D$4:$F$4,0))</f>
        <v>2</v>
      </c>
      <c r="P149" s="2"/>
      <c r="Q149" s="2" t="s">
        <v>1204</v>
      </c>
      <c r="R149" s="151">
        <v>45261</v>
      </c>
      <c r="S149" s="151"/>
      <c r="T149" s="151"/>
      <c r="U149" s="151"/>
      <c r="V149" s="151"/>
      <c r="W149" s="2">
        <f>VLOOKUP(Table1[[#This Row],[Status]],Auxiliar!$B$16:$D$24,3,0)*Table1[[#This Row],[Estimação (horas)]]</f>
        <v>2</v>
      </c>
      <c r="X149" s="2"/>
    </row>
    <row r="150" spans="2:24" ht="17.7"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1188</v>
      </c>
      <c r="L150" s="28" t="s">
        <v>1193</v>
      </c>
      <c r="M150" s="20" t="s">
        <v>1194</v>
      </c>
      <c r="N150" s="47">
        <v>45485</v>
      </c>
      <c r="O150" s="20">
        <f>INDEX(Auxiliar!$D$5:$F$13,MATCH(Table1[[#This Row],[Tipologia_Testes]],Auxiliar!$B$5:$B$13,0),MATCH(Table1[[#This Row],[Complexidade]],Auxiliar!$D$4:$F$4,0))</f>
        <v>2</v>
      </c>
      <c r="P150" s="2"/>
      <c r="Q150" s="2" t="s">
        <v>1204</v>
      </c>
      <c r="R150" s="151">
        <v>45261</v>
      </c>
      <c r="S150" s="151"/>
      <c r="T150" s="151"/>
      <c r="U150" s="151"/>
      <c r="V150" s="151"/>
      <c r="W150" s="2">
        <f>VLOOKUP(Table1[[#This Row],[Status]],Auxiliar!$B$16:$D$24,3,0)*Table1[[#This Row],[Estimação (horas)]]</f>
        <v>2</v>
      </c>
      <c r="X150" s="2"/>
    </row>
    <row r="151" spans="2:24" ht="17.7"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1190</v>
      </c>
      <c r="L151" s="28" t="s">
        <v>1193</v>
      </c>
      <c r="M151" s="20" t="s">
        <v>1194</v>
      </c>
      <c r="N151" s="47">
        <v>45485</v>
      </c>
      <c r="O151" s="20">
        <f>INDEX(Auxiliar!$D$5:$F$13,MATCH(Table1[[#This Row],[Tipologia_Testes]],Auxiliar!$B$5:$B$13,0),MATCH(Table1[[#This Row],[Complexidade]],Auxiliar!$D$4:$F$4,0))</f>
        <v>0.1</v>
      </c>
      <c r="P151" s="2"/>
      <c r="Q151" s="2" t="s">
        <v>1204</v>
      </c>
      <c r="R151" s="151">
        <v>45261</v>
      </c>
      <c r="S151" s="151"/>
      <c r="T151" s="151"/>
      <c r="U151" s="151"/>
      <c r="V151" s="151"/>
      <c r="W151" s="2">
        <f>VLOOKUP(Table1[[#This Row],[Status]],Auxiliar!$B$16:$D$24,3,0)*Table1[[#This Row],[Estimação (horas)]]</f>
        <v>0.1</v>
      </c>
      <c r="X151" s="2"/>
    </row>
    <row r="152" spans="2:24" ht="17.7"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1187</v>
      </c>
      <c r="L152" s="28" t="s">
        <v>1193</v>
      </c>
      <c r="M152" s="20" t="s">
        <v>1194</v>
      </c>
      <c r="N152" s="47">
        <v>45490</v>
      </c>
      <c r="O152" s="20">
        <f>INDEX(Auxiliar!$D$5:$F$13,MATCH(Table1[[#This Row],[Tipologia_Testes]],Auxiliar!$B$5:$B$13,0),MATCH(Table1[[#This Row],[Complexidade]],Auxiliar!$D$4:$F$4,0))</f>
        <v>2</v>
      </c>
      <c r="P152" s="2"/>
      <c r="Q152" s="2" t="s">
        <v>1204</v>
      </c>
      <c r="R152" s="151">
        <v>45261</v>
      </c>
      <c r="S152" s="151"/>
      <c r="T152" s="151"/>
      <c r="U152" s="151"/>
      <c r="V152" s="151"/>
      <c r="W152" s="2">
        <f>VLOOKUP(Table1[[#This Row],[Status]],Auxiliar!$B$16:$D$24,3,0)*Table1[[#This Row],[Estimação (horas)]]</f>
        <v>2</v>
      </c>
      <c r="X152" s="2"/>
    </row>
    <row r="153" spans="2:24" ht="17.7"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1188</v>
      </c>
      <c r="L153" s="28" t="s">
        <v>1193</v>
      </c>
      <c r="M153" s="20" t="s">
        <v>1194</v>
      </c>
      <c r="N153" s="47">
        <v>45490</v>
      </c>
      <c r="O153" s="20">
        <f>INDEX(Auxiliar!$D$5:$F$13,MATCH(Table1[[#This Row],[Tipologia_Testes]],Auxiliar!$B$5:$B$13,0),MATCH(Table1[[#This Row],[Complexidade]],Auxiliar!$D$4:$F$4,0))</f>
        <v>2</v>
      </c>
      <c r="P153" s="2"/>
      <c r="Q153" s="2" t="s">
        <v>1204</v>
      </c>
      <c r="R153" s="151">
        <v>45261</v>
      </c>
      <c r="S153" s="151"/>
      <c r="T153" s="151"/>
      <c r="U153" s="151"/>
      <c r="V153" s="151"/>
      <c r="W153" s="2">
        <f>VLOOKUP(Table1[[#This Row],[Status]],Auxiliar!$B$16:$D$24,3,0)*Table1[[#This Row],[Estimação (horas)]]</f>
        <v>2</v>
      </c>
      <c r="X153" s="2"/>
    </row>
    <row r="154" spans="2:24" ht="17.7"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1190</v>
      </c>
      <c r="L154" s="28" t="s">
        <v>1193</v>
      </c>
      <c r="M154" s="20" t="s">
        <v>1194</v>
      </c>
      <c r="N154" s="47">
        <v>45490</v>
      </c>
      <c r="O154" s="20">
        <f>INDEX(Auxiliar!$D$5:$F$13,MATCH(Table1[[#This Row],[Tipologia_Testes]],Auxiliar!$B$5:$B$13,0),MATCH(Table1[[#This Row],[Complexidade]],Auxiliar!$D$4:$F$4,0))</f>
        <v>0.1</v>
      </c>
      <c r="P154" s="2"/>
      <c r="Q154" s="2" t="s">
        <v>1204</v>
      </c>
      <c r="R154" s="151">
        <v>45261</v>
      </c>
      <c r="S154" s="151"/>
      <c r="T154" s="151"/>
      <c r="U154" s="151"/>
      <c r="V154" s="151"/>
      <c r="W154" s="2">
        <f>VLOOKUP(Table1[[#This Row],[Status]],Auxiliar!$B$16:$D$24,3,0)*Table1[[#This Row],[Estimação (horas)]]</f>
        <v>0.1</v>
      </c>
      <c r="X154" s="2"/>
    </row>
    <row r="155" spans="2:24" ht="17.7"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1187</v>
      </c>
      <c r="L155" s="28" t="s">
        <v>1193</v>
      </c>
      <c r="M155" s="20" t="s">
        <v>1194</v>
      </c>
      <c r="N155" s="47">
        <v>45490</v>
      </c>
      <c r="O155" s="20">
        <f>INDEX(Auxiliar!$D$5:$F$13,MATCH(Table1[[#This Row],[Tipologia_Testes]],Auxiliar!$B$5:$B$13,0),MATCH(Table1[[#This Row],[Complexidade]],Auxiliar!$D$4:$F$4,0))</f>
        <v>2</v>
      </c>
      <c r="P155" s="2"/>
      <c r="Q155" s="2" t="s">
        <v>1204</v>
      </c>
      <c r="R155" s="151">
        <v>45261</v>
      </c>
      <c r="S155" s="151"/>
      <c r="T155" s="151"/>
      <c r="U155" s="151"/>
      <c r="V155" s="151"/>
      <c r="W155" s="2">
        <f>VLOOKUP(Table1[[#This Row],[Status]],Auxiliar!$B$16:$D$24,3,0)*Table1[[#This Row],[Estimação (horas)]]</f>
        <v>2</v>
      </c>
      <c r="X155" s="2"/>
    </row>
    <row r="156" spans="2:24" ht="17.7"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1188</v>
      </c>
      <c r="L156" s="28" t="s">
        <v>1193</v>
      </c>
      <c r="M156" s="20" t="s">
        <v>1194</v>
      </c>
      <c r="N156" s="47">
        <v>45490</v>
      </c>
      <c r="O156" s="20">
        <f>INDEX(Auxiliar!$D$5:$F$13,MATCH(Table1[[#This Row],[Tipologia_Testes]],Auxiliar!$B$5:$B$13,0),MATCH(Table1[[#This Row],[Complexidade]],Auxiliar!$D$4:$F$4,0))</f>
        <v>2</v>
      </c>
      <c r="P156" s="2"/>
      <c r="Q156" s="2" t="s">
        <v>1204</v>
      </c>
      <c r="R156" s="151">
        <v>45261</v>
      </c>
      <c r="S156" s="151"/>
      <c r="T156" s="151"/>
      <c r="U156" s="151"/>
      <c r="V156" s="151"/>
      <c r="W156" s="2">
        <f>VLOOKUP(Table1[[#This Row],[Status]],Auxiliar!$B$16:$D$24,3,0)*Table1[[#This Row],[Estimação (horas)]]</f>
        <v>2</v>
      </c>
      <c r="X156" s="2"/>
    </row>
    <row r="157" spans="2:24" ht="17.7"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1190</v>
      </c>
      <c r="L157" s="28" t="s">
        <v>1193</v>
      </c>
      <c r="M157" s="20" t="s">
        <v>1194</v>
      </c>
      <c r="N157" s="47">
        <v>45490</v>
      </c>
      <c r="O157" s="20">
        <f>INDEX(Auxiliar!$D$5:$F$13,MATCH(Table1[[#This Row],[Tipologia_Testes]],Auxiliar!$B$5:$B$13,0),MATCH(Table1[[#This Row],[Complexidade]],Auxiliar!$D$4:$F$4,0))</f>
        <v>0.1</v>
      </c>
      <c r="P157" s="2"/>
      <c r="Q157" s="2" t="s">
        <v>1204</v>
      </c>
      <c r="R157" s="151">
        <v>45261</v>
      </c>
      <c r="S157" s="151"/>
      <c r="T157" s="151"/>
      <c r="U157" s="151"/>
      <c r="V157" s="151"/>
      <c r="W157" s="2">
        <f>VLOOKUP(Table1[[#This Row],[Status]],Auxiliar!$B$16:$D$24,3,0)*Table1[[#This Row],[Estimação (horas)]]</f>
        <v>0.1</v>
      </c>
      <c r="X157" s="2"/>
    </row>
    <row r="158" spans="2:24" ht="17.7"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1187</v>
      </c>
      <c r="L158" s="28" t="s">
        <v>1193</v>
      </c>
      <c r="M158" s="20" t="s">
        <v>1194</v>
      </c>
      <c r="N158" s="47">
        <v>45490</v>
      </c>
      <c r="O158" s="20">
        <f>INDEX(Auxiliar!$D$5:$F$13,MATCH(Table1[[#This Row],[Tipologia_Testes]],Auxiliar!$B$5:$B$13,0),MATCH(Table1[[#This Row],[Complexidade]],Auxiliar!$D$4:$F$4,0))</f>
        <v>2</v>
      </c>
      <c r="P158" s="2"/>
      <c r="Q158" s="2" t="s">
        <v>1204</v>
      </c>
      <c r="R158" s="151">
        <v>45261</v>
      </c>
      <c r="S158" s="151"/>
      <c r="T158" s="151"/>
      <c r="U158" s="151"/>
      <c r="V158" s="151"/>
      <c r="W158" s="2">
        <f>VLOOKUP(Table1[[#This Row],[Status]],Auxiliar!$B$16:$D$24,3,0)*Table1[[#This Row],[Estimação (horas)]]</f>
        <v>2</v>
      </c>
      <c r="X158" s="2"/>
    </row>
    <row r="159" spans="2:24" ht="17.7"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1188</v>
      </c>
      <c r="L159" s="28" t="s">
        <v>1193</v>
      </c>
      <c r="M159" s="20" t="s">
        <v>1194</v>
      </c>
      <c r="N159" s="47">
        <v>45490</v>
      </c>
      <c r="O159" s="20">
        <f>INDEX(Auxiliar!$D$5:$F$13,MATCH(Table1[[#This Row],[Tipologia_Testes]],Auxiliar!$B$5:$B$13,0),MATCH(Table1[[#This Row],[Complexidade]],Auxiliar!$D$4:$F$4,0))</f>
        <v>2</v>
      </c>
      <c r="P159" s="2"/>
      <c r="Q159" s="2" t="s">
        <v>1204</v>
      </c>
      <c r="R159" s="151">
        <v>45261</v>
      </c>
      <c r="S159" s="151"/>
      <c r="T159" s="151"/>
      <c r="U159" s="151"/>
      <c r="V159" s="151"/>
      <c r="W159" s="2">
        <f>VLOOKUP(Table1[[#This Row],[Status]],Auxiliar!$B$16:$D$24,3,0)*Table1[[#This Row],[Estimação (horas)]]</f>
        <v>2</v>
      </c>
      <c r="X159" s="2"/>
    </row>
    <row r="160" spans="2:24" ht="17.7"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1190</v>
      </c>
      <c r="L160" s="28" t="s">
        <v>1193</v>
      </c>
      <c r="M160" s="20" t="s">
        <v>1194</v>
      </c>
      <c r="N160" s="47">
        <v>45490</v>
      </c>
      <c r="O160" s="20">
        <f>INDEX(Auxiliar!$D$5:$F$13,MATCH(Table1[[#This Row],[Tipologia_Testes]],Auxiliar!$B$5:$B$13,0),MATCH(Table1[[#This Row],[Complexidade]],Auxiliar!$D$4:$F$4,0))</f>
        <v>0.1</v>
      </c>
      <c r="P160" s="2"/>
      <c r="Q160" s="2" t="s">
        <v>1204</v>
      </c>
      <c r="R160" s="151">
        <v>45261</v>
      </c>
      <c r="S160" s="151"/>
      <c r="T160" s="151"/>
      <c r="U160" s="151"/>
      <c r="V160" s="151"/>
      <c r="W160" s="2">
        <f>VLOOKUP(Table1[[#This Row],[Status]],Auxiliar!$B$16:$D$24,3,0)*Table1[[#This Row],[Estimação (horas)]]</f>
        <v>0.1</v>
      </c>
      <c r="X160" s="2"/>
    </row>
    <row r="161" spans="2:24" ht="17.7"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1187</v>
      </c>
      <c r="L161" s="28" t="s">
        <v>1193</v>
      </c>
      <c r="M161" s="20" t="s">
        <v>1194</v>
      </c>
      <c r="N161" s="47">
        <v>45485</v>
      </c>
      <c r="O161" s="20">
        <f>INDEX(Auxiliar!$D$5:$F$13,MATCH(Table1[[#This Row],[Tipologia_Testes]],Auxiliar!$B$5:$B$13,0),MATCH(Table1[[#This Row],[Complexidade]],Auxiliar!$D$4:$F$4,0))</f>
        <v>2</v>
      </c>
      <c r="P161" s="2"/>
      <c r="Q161" s="2" t="s">
        <v>1204</v>
      </c>
      <c r="R161" s="151">
        <v>45261</v>
      </c>
      <c r="S161" s="151"/>
      <c r="T161" s="151"/>
      <c r="U161" s="151"/>
      <c r="V161" s="151"/>
      <c r="W161" s="2">
        <f>VLOOKUP(Table1[[#This Row],[Status]],Auxiliar!$B$16:$D$24,3,0)*Table1[[#This Row],[Estimação (horas)]]</f>
        <v>2</v>
      </c>
      <c r="X161" s="2"/>
    </row>
    <row r="162" spans="2:24" ht="17.7"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1188</v>
      </c>
      <c r="L162" s="28" t="s">
        <v>1193</v>
      </c>
      <c r="M162" s="20" t="s">
        <v>1194</v>
      </c>
      <c r="N162" s="47">
        <v>45485</v>
      </c>
      <c r="O162" s="20">
        <f>INDEX(Auxiliar!$D$5:$F$13,MATCH(Table1[[#This Row],[Tipologia_Testes]],Auxiliar!$B$5:$B$13,0),MATCH(Table1[[#This Row],[Complexidade]],Auxiliar!$D$4:$F$4,0))</f>
        <v>2</v>
      </c>
      <c r="P162" s="2"/>
      <c r="Q162" s="2" t="s">
        <v>1204</v>
      </c>
      <c r="R162" s="151">
        <v>45261</v>
      </c>
      <c r="S162" s="151"/>
      <c r="T162" s="151"/>
      <c r="U162" s="151"/>
      <c r="V162" s="151"/>
      <c r="W162" s="2">
        <f>VLOOKUP(Table1[[#This Row],[Status]],Auxiliar!$B$16:$D$24,3,0)*Table1[[#This Row],[Estimação (horas)]]</f>
        <v>2</v>
      </c>
      <c r="X162" s="2"/>
    </row>
    <row r="163" spans="2:24" ht="17.7"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1190</v>
      </c>
      <c r="L163" s="28" t="s">
        <v>1193</v>
      </c>
      <c r="M163" s="20" t="s">
        <v>1194</v>
      </c>
      <c r="N163" s="47">
        <v>45485</v>
      </c>
      <c r="O163" s="20">
        <f>INDEX(Auxiliar!$D$5:$F$13,MATCH(Table1[[#This Row],[Tipologia_Testes]],Auxiliar!$B$5:$B$13,0),MATCH(Table1[[#This Row],[Complexidade]],Auxiliar!$D$4:$F$4,0))</f>
        <v>0.1</v>
      </c>
      <c r="P163" s="2"/>
      <c r="Q163" s="2" t="s">
        <v>1204</v>
      </c>
      <c r="R163" s="151">
        <v>45261</v>
      </c>
      <c r="S163" s="151"/>
      <c r="T163" s="151"/>
      <c r="U163" s="151"/>
      <c r="V163" s="151"/>
      <c r="W163" s="2">
        <f>VLOOKUP(Table1[[#This Row],[Status]],Auxiliar!$B$16:$D$24,3,0)*Table1[[#This Row],[Estimação (horas)]]</f>
        <v>0.1</v>
      </c>
      <c r="X163" s="2"/>
    </row>
    <row r="164" spans="2:24" ht="17.7"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1187</v>
      </c>
      <c r="L164" s="28" t="s">
        <v>1193</v>
      </c>
      <c r="M164" s="20" t="s">
        <v>1194</v>
      </c>
      <c r="N164" s="47">
        <v>45485</v>
      </c>
      <c r="O164" s="20">
        <f>INDEX(Auxiliar!$D$5:$F$13,MATCH(Table1[[#This Row],[Tipologia_Testes]],Auxiliar!$B$5:$B$13,0),MATCH(Table1[[#This Row],[Complexidade]],Auxiliar!$D$4:$F$4,0))</f>
        <v>2</v>
      </c>
      <c r="P164" s="2"/>
      <c r="Q164" s="2" t="s">
        <v>1204</v>
      </c>
      <c r="R164" s="151">
        <v>45261</v>
      </c>
      <c r="S164" s="151"/>
      <c r="T164" s="151"/>
      <c r="U164" s="151"/>
      <c r="V164" s="151"/>
      <c r="W164" s="2">
        <f>VLOOKUP(Table1[[#This Row],[Status]],Auxiliar!$B$16:$D$24,3,0)*Table1[[#This Row],[Estimação (horas)]]</f>
        <v>2</v>
      </c>
      <c r="X164" s="2"/>
    </row>
    <row r="165" spans="2:24" ht="17.7"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1188</v>
      </c>
      <c r="L165" s="28" t="s">
        <v>1193</v>
      </c>
      <c r="M165" s="20" t="s">
        <v>1194</v>
      </c>
      <c r="N165" s="47">
        <v>45485</v>
      </c>
      <c r="O165" s="20">
        <f>INDEX(Auxiliar!$D$5:$F$13,MATCH(Table1[[#This Row],[Tipologia_Testes]],Auxiliar!$B$5:$B$13,0),MATCH(Table1[[#This Row],[Complexidade]],Auxiliar!$D$4:$F$4,0))</f>
        <v>2</v>
      </c>
      <c r="P165" s="2"/>
      <c r="Q165" s="2" t="s">
        <v>1204</v>
      </c>
      <c r="R165" s="151">
        <v>45261</v>
      </c>
      <c r="S165" s="151"/>
      <c r="T165" s="151"/>
      <c r="U165" s="151"/>
      <c r="V165" s="151"/>
      <c r="W165" s="2">
        <f>VLOOKUP(Table1[[#This Row],[Status]],Auxiliar!$B$16:$D$24,3,0)*Table1[[#This Row],[Estimação (horas)]]</f>
        <v>2</v>
      </c>
      <c r="X165" s="2"/>
    </row>
    <row r="166" spans="2:24" ht="17.7"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1190</v>
      </c>
      <c r="L166" s="28" t="s">
        <v>1193</v>
      </c>
      <c r="M166" s="20" t="s">
        <v>1194</v>
      </c>
      <c r="N166" s="47">
        <v>45485</v>
      </c>
      <c r="O166" s="20">
        <f>INDEX(Auxiliar!$D$5:$F$13,MATCH(Table1[[#This Row],[Tipologia_Testes]],Auxiliar!$B$5:$B$13,0),MATCH(Table1[[#This Row],[Complexidade]],Auxiliar!$D$4:$F$4,0))</f>
        <v>0.1</v>
      </c>
      <c r="P166" s="2"/>
      <c r="Q166" s="2" t="s">
        <v>1204</v>
      </c>
      <c r="R166" s="151">
        <v>45261</v>
      </c>
      <c r="S166" s="151"/>
      <c r="T166" s="151"/>
      <c r="U166" s="151"/>
      <c r="V166" s="151"/>
      <c r="W166" s="2">
        <f>VLOOKUP(Table1[[#This Row],[Status]],Auxiliar!$B$16:$D$24,3,0)*Table1[[#This Row],[Estimação (horas)]]</f>
        <v>0.1</v>
      </c>
      <c r="X166" s="2"/>
    </row>
    <row r="167" spans="2:24" ht="17.7"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1187</v>
      </c>
      <c r="L167" s="28" t="s">
        <v>1193</v>
      </c>
      <c r="M167" s="20" t="s">
        <v>1194</v>
      </c>
      <c r="N167" s="47">
        <v>45485</v>
      </c>
      <c r="O167" s="20">
        <f>INDEX(Auxiliar!$D$5:$F$13,MATCH(Table1[[#This Row],[Tipologia_Testes]],Auxiliar!$B$5:$B$13,0),MATCH(Table1[[#This Row],[Complexidade]],Auxiliar!$D$4:$F$4,0))</f>
        <v>2</v>
      </c>
      <c r="P167" s="2"/>
      <c r="Q167" s="2" t="s">
        <v>1204</v>
      </c>
      <c r="R167" s="151">
        <v>45261</v>
      </c>
      <c r="S167" s="151"/>
      <c r="T167" s="151"/>
      <c r="U167" s="151"/>
      <c r="V167" s="151"/>
      <c r="W167" s="2">
        <f>VLOOKUP(Table1[[#This Row],[Status]],Auxiliar!$B$16:$D$24,3,0)*Table1[[#This Row],[Estimação (horas)]]</f>
        <v>2</v>
      </c>
      <c r="X167" s="2"/>
    </row>
    <row r="168" spans="2:24" ht="17.7"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1188</v>
      </c>
      <c r="L168" s="28" t="s">
        <v>1193</v>
      </c>
      <c r="M168" s="20" t="s">
        <v>1194</v>
      </c>
      <c r="N168" s="47">
        <v>45485</v>
      </c>
      <c r="O168" s="20">
        <f>INDEX(Auxiliar!$D$5:$F$13,MATCH(Table1[[#This Row],[Tipologia_Testes]],Auxiliar!$B$5:$B$13,0),MATCH(Table1[[#This Row],[Complexidade]],Auxiliar!$D$4:$F$4,0))</f>
        <v>2</v>
      </c>
      <c r="P168" s="2"/>
      <c r="Q168" s="2" t="s">
        <v>1204</v>
      </c>
      <c r="R168" s="151">
        <v>45261</v>
      </c>
      <c r="S168" s="151"/>
      <c r="T168" s="151"/>
      <c r="U168" s="151"/>
      <c r="V168" s="151"/>
      <c r="W168" s="2">
        <f>VLOOKUP(Table1[[#This Row],[Status]],Auxiliar!$B$16:$D$24,3,0)*Table1[[#This Row],[Estimação (horas)]]</f>
        <v>2</v>
      </c>
      <c r="X168" s="2"/>
    </row>
    <row r="169" spans="2:24" ht="17.7"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1190</v>
      </c>
      <c r="L169" s="28" t="s">
        <v>1193</v>
      </c>
      <c r="M169" s="20" t="s">
        <v>1194</v>
      </c>
      <c r="N169" s="47">
        <v>45485</v>
      </c>
      <c r="O169" s="20">
        <f>INDEX(Auxiliar!$D$5:$F$13,MATCH(Table1[[#This Row],[Tipologia_Testes]],Auxiliar!$B$5:$B$13,0),MATCH(Table1[[#This Row],[Complexidade]],Auxiliar!$D$4:$F$4,0))</f>
        <v>0.1</v>
      </c>
      <c r="P169" s="2"/>
      <c r="Q169" s="2" t="s">
        <v>1204</v>
      </c>
      <c r="R169" s="151">
        <v>45261</v>
      </c>
      <c r="S169" s="151"/>
      <c r="T169" s="151"/>
      <c r="U169" s="151"/>
      <c r="V169" s="151"/>
      <c r="W169" s="2">
        <f>VLOOKUP(Table1[[#This Row],[Status]],Auxiliar!$B$16:$D$24,3,0)*Table1[[#This Row],[Estimação (horas)]]</f>
        <v>0.1</v>
      </c>
      <c r="X169" s="2"/>
    </row>
    <row r="170" spans="2:24" ht="17.7"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1187</v>
      </c>
      <c r="L170" s="28" t="s">
        <v>1193</v>
      </c>
      <c r="M170" s="20" t="s">
        <v>1194</v>
      </c>
      <c r="N170" s="47">
        <v>45485</v>
      </c>
      <c r="O170" s="20">
        <f>INDEX(Auxiliar!$D$5:$F$13,MATCH(Table1[[#This Row],[Tipologia_Testes]],Auxiliar!$B$5:$B$13,0),MATCH(Table1[[#This Row],[Complexidade]],Auxiliar!$D$4:$F$4,0))</f>
        <v>2</v>
      </c>
      <c r="P170" s="2"/>
      <c r="Q170" s="2" t="s">
        <v>1204</v>
      </c>
      <c r="R170" s="151">
        <v>45261</v>
      </c>
      <c r="S170" s="151"/>
      <c r="T170" s="151"/>
      <c r="U170" s="151"/>
      <c r="V170" s="151"/>
      <c r="W170" s="2">
        <f>VLOOKUP(Table1[[#This Row],[Status]],Auxiliar!$B$16:$D$24,3,0)*Table1[[#This Row],[Estimação (horas)]]</f>
        <v>2</v>
      </c>
      <c r="X170" s="2"/>
    </row>
    <row r="171" spans="2:24" ht="17.7"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1188</v>
      </c>
      <c r="L171" s="28" t="s">
        <v>1193</v>
      </c>
      <c r="M171" s="20" t="s">
        <v>1194</v>
      </c>
      <c r="N171" s="47">
        <v>45485</v>
      </c>
      <c r="O171" s="20">
        <f>INDEX(Auxiliar!$D$5:$F$13,MATCH(Table1[[#This Row],[Tipologia_Testes]],Auxiliar!$B$5:$B$13,0),MATCH(Table1[[#This Row],[Complexidade]],Auxiliar!$D$4:$F$4,0))</f>
        <v>2</v>
      </c>
      <c r="P171" s="2"/>
      <c r="Q171" s="2" t="s">
        <v>1204</v>
      </c>
      <c r="R171" s="151">
        <v>45261</v>
      </c>
      <c r="S171" s="151"/>
      <c r="T171" s="151"/>
      <c r="U171" s="151"/>
      <c r="V171" s="151"/>
      <c r="W171" s="2">
        <f>VLOOKUP(Table1[[#This Row],[Status]],Auxiliar!$B$16:$D$24,3,0)*Table1[[#This Row],[Estimação (horas)]]</f>
        <v>2</v>
      </c>
      <c r="X171" s="2"/>
    </row>
    <row r="172" spans="2:24" ht="17.7"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1190</v>
      </c>
      <c r="L172" s="28" t="s">
        <v>1193</v>
      </c>
      <c r="M172" s="20" t="s">
        <v>1194</v>
      </c>
      <c r="N172" s="47">
        <v>45485</v>
      </c>
      <c r="O172" s="20">
        <f>INDEX(Auxiliar!$D$5:$F$13,MATCH(Table1[[#This Row],[Tipologia_Testes]],Auxiliar!$B$5:$B$13,0),MATCH(Table1[[#This Row],[Complexidade]],Auxiliar!$D$4:$F$4,0))</f>
        <v>0.1</v>
      </c>
      <c r="P172" s="2"/>
      <c r="Q172" s="2" t="s">
        <v>1204</v>
      </c>
      <c r="R172" s="151">
        <v>45261</v>
      </c>
      <c r="S172" s="151"/>
      <c r="T172" s="151"/>
      <c r="U172" s="151"/>
      <c r="V172" s="151"/>
      <c r="W172" s="2">
        <f>VLOOKUP(Table1[[#This Row],[Status]],Auxiliar!$B$16:$D$24,3,0)*Table1[[#This Row],[Estimação (horas)]]</f>
        <v>0.1</v>
      </c>
      <c r="X172" s="2"/>
    </row>
    <row r="173" spans="2:24" ht="17.7"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1187</v>
      </c>
      <c r="L173" s="28" t="s">
        <v>1193</v>
      </c>
      <c r="M173" s="20" t="s">
        <v>1194</v>
      </c>
      <c r="N173" s="47">
        <v>45490</v>
      </c>
      <c r="O173" s="20">
        <f>INDEX(Auxiliar!$D$5:$F$13,MATCH(Table1[[#This Row],[Tipologia_Testes]],Auxiliar!$B$5:$B$13,0),MATCH(Table1[[#This Row],[Complexidade]],Auxiliar!$D$4:$F$4,0))</f>
        <v>2</v>
      </c>
      <c r="P173" s="2"/>
      <c r="Q173" s="2" t="s">
        <v>1204</v>
      </c>
      <c r="R173" s="151">
        <v>45261</v>
      </c>
      <c r="S173" s="151"/>
      <c r="T173" s="151"/>
      <c r="U173" s="151"/>
      <c r="V173" s="151"/>
      <c r="W173" s="2">
        <f>VLOOKUP(Table1[[#This Row],[Status]],Auxiliar!$B$16:$D$24,3,0)*Table1[[#This Row],[Estimação (horas)]]</f>
        <v>2</v>
      </c>
      <c r="X173" s="2"/>
    </row>
    <row r="174" spans="2:24" ht="17.7"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1188</v>
      </c>
      <c r="L174" s="28" t="s">
        <v>1193</v>
      </c>
      <c r="M174" s="20" t="s">
        <v>1194</v>
      </c>
      <c r="N174" s="47">
        <v>45490</v>
      </c>
      <c r="O174" s="20">
        <f>INDEX(Auxiliar!$D$5:$F$13,MATCH(Table1[[#This Row],[Tipologia_Testes]],Auxiliar!$B$5:$B$13,0),MATCH(Table1[[#This Row],[Complexidade]],Auxiliar!$D$4:$F$4,0))</f>
        <v>2</v>
      </c>
      <c r="P174" s="2"/>
      <c r="Q174" s="2" t="s">
        <v>1204</v>
      </c>
      <c r="R174" s="151">
        <v>45261</v>
      </c>
      <c r="S174" s="151"/>
      <c r="T174" s="151"/>
      <c r="U174" s="151"/>
      <c r="V174" s="151"/>
      <c r="W174" s="2">
        <f>VLOOKUP(Table1[[#This Row],[Status]],Auxiliar!$B$16:$D$24,3,0)*Table1[[#This Row],[Estimação (horas)]]</f>
        <v>2</v>
      </c>
      <c r="X174" s="2"/>
    </row>
    <row r="175" spans="2:24" ht="17.7"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1190</v>
      </c>
      <c r="L175" s="28" t="s">
        <v>1193</v>
      </c>
      <c r="M175" s="20" t="s">
        <v>1194</v>
      </c>
      <c r="N175" s="47">
        <v>45490</v>
      </c>
      <c r="O175" s="20">
        <f>INDEX(Auxiliar!$D$5:$F$13,MATCH(Table1[[#This Row],[Tipologia_Testes]],Auxiliar!$B$5:$B$13,0),MATCH(Table1[[#This Row],[Complexidade]],Auxiliar!$D$4:$F$4,0))</f>
        <v>0.1</v>
      </c>
      <c r="P175" s="2"/>
      <c r="Q175" s="2" t="s">
        <v>1204</v>
      </c>
      <c r="R175" s="151">
        <v>45261</v>
      </c>
      <c r="S175" s="151"/>
      <c r="T175" s="151"/>
      <c r="U175" s="151"/>
      <c r="V175" s="151"/>
      <c r="W175" s="2">
        <f>VLOOKUP(Table1[[#This Row],[Status]],Auxiliar!$B$16:$D$24,3,0)*Table1[[#This Row],[Estimação (horas)]]</f>
        <v>0.1</v>
      </c>
      <c r="X175" s="2"/>
    </row>
    <row r="176" spans="2:24" ht="17.7"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1187</v>
      </c>
      <c r="L176" s="28" t="s">
        <v>1193</v>
      </c>
      <c r="M176" s="20" t="s">
        <v>1194</v>
      </c>
      <c r="N176" s="47">
        <v>45512</v>
      </c>
      <c r="O176" s="20">
        <f>INDEX(Auxiliar!$D$5:$F$13,MATCH(Table1[[#This Row],[Tipologia_Testes]],Auxiliar!$B$5:$B$13,0),MATCH(Table1[[#This Row],[Complexidade]],Auxiliar!$D$4:$F$4,0))</f>
        <v>2</v>
      </c>
      <c r="P176" s="2"/>
      <c r="Q176" s="2" t="s">
        <v>1204</v>
      </c>
      <c r="R176" s="151">
        <v>45261</v>
      </c>
      <c r="S176" s="151"/>
      <c r="T176" s="151"/>
      <c r="U176" s="151"/>
      <c r="V176" s="151"/>
      <c r="W176" s="2">
        <f>VLOOKUP(Table1[[#This Row],[Status]],Auxiliar!$B$16:$D$24,3,0)*Table1[[#This Row],[Estimação (horas)]]</f>
        <v>0</v>
      </c>
      <c r="X176" s="2"/>
    </row>
    <row r="177" spans="2:24" ht="17.7"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1188</v>
      </c>
      <c r="L177" s="28" t="s">
        <v>1193</v>
      </c>
      <c r="M177" s="20" t="s">
        <v>1194</v>
      </c>
      <c r="N177" s="47">
        <v>45512</v>
      </c>
      <c r="O177" s="20">
        <f>INDEX(Auxiliar!$D$5:$F$13,MATCH(Table1[[#This Row],[Tipologia_Testes]],Auxiliar!$B$5:$B$13,0),MATCH(Table1[[#This Row],[Complexidade]],Auxiliar!$D$4:$F$4,0))</f>
        <v>2</v>
      </c>
      <c r="P177" s="2"/>
      <c r="Q177" s="2" t="s">
        <v>1204</v>
      </c>
      <c r="R177" s="151">
        <v>45261</v>
      </c>
      <c r="S177" s="151"/>
      <c r="T177" s="151"/>
      <c r="U177" s="151"/>
      <c r="V177" s="151"/>
      <c r="W177" s="2">
        <f>VLOOKUP(Table1[[#This Row],[Status]],Auxiliar!$B$16:$D$24,3,0)*Table1[[#This Row],[Estimação (horas)]]</f>
        <v>0</v>
      </c>
      <c r="X177" s="2"/>
    </row>
    <row r="178" spans="2:24" ht="17.7"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1190</v>
      </c>
      <c r="L178" s="28" t="s">
        <v>1193</v>
      </c>
      <c r="M178" s="20" t="s">
        <v>1194</v>
      </c>
      <c r="N178" s="47">
        <v>45512</v>
      </c>
      <c r="O178" s="20">
        <f>INDEX(Auxiliar!$D$5:$F$13,MATCH(Table1[[#This Row],[Tipologia_Testes]],Auxiliar!$B$5:$B$13,0),MATCH(Table1[[#This Row],[Complexidade]],Auxiliar!$D$4:$F$4,0))</f>
        <v>0.1</v>
      </c>
      <c r="P178" s="2"/>
      <c r="Q178" s="2" t="s">
        <v>1204</v>
      </c>
      <c r="R178" s="151">
        <v>45261</v>
      </c>
      <c r="S178" s="151"/>
      <c r="T178" s="151"/>
      <c r="U178" s="151"/>
      <c r="V178" s="151"/>
      <c r="W178" s="2">
        <f>VLOOKUP(Table1[[#This Row],[Status]],Auxiliar!$B$16:$D$24,3,0)*Table1[[#This Row],[Estimação (horas)]]</f>
        <v>0</v>
      </c>
      <c r="X178" s="2"/>
    </row>
    <row r="179" spans="2:24" ht="17.7"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1187</v>
      </c>
      <c r="L179" s="28" t="s">
        <v>1185</v>
      </c>
      <c r="M179" s="20" t="s">
        <v>1195</v>
      </c>
      <c r="N179" s="47">
        <v>45505</v>
      </c>
      <c r="O179" s="20">
        <f>INDEX(Auxiliar!$D$5:$F$13,MATCH(Table1[[#This Row],[Tipologia_Testes]],Auxiliar!$B$5:$B$13,0),MATCH(Table1[[#This Row],[Complexidade]],Auxiliar!$D$4:$F$4,0))</f>
        <v>4</v>
      </c>
      <c r="P179" s="2" t="s">
        <v>1196</v>
      </c>
      <c r="Q179" s="2" t="s">
        <v>1204</v>
      </c>
      <c r="R179" s="151">
        <v>45261</v>
      </c>
      <c r="S179" s="151"/>
      <c r="T179" s="151">
        <v>45491</v>
      </c>
      <c r="U179" s="151">
        <v>45495</v>
      </c>
      <c r="V179" s="151">
        <v>45495</v>
      </c>
      <c r="W179" s="2">
        <f>VLOOKUP(Table1[[#This Row],[Status]],Auxiliar!$B$16:$D$24,3,0)*Table1[[#This Row],[Estimação (horas)]]</f>
        <v>4</v>
      </c>
      <c r="X179" s="2"/>
    </row>
    <row r="180" spans="2:24" ht="17.7"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1188</v>
      </c>
      <c r="L180" s="28" t="s">
        <v>1185</v>
      </c>
      <c r="M180" s="20" t="s">
        <v>1195</v>
      </c>
      <c r="N180" s="47">
        <v>45505</v>
      </c>
      <c r="O180" s="20">
        <f>INDEX(Auxiliar!$D$5:$F$13,MATCH(Table1[[#This Row],[Tipologia_Testes]],Auxiliar!$B$5:$B$13,0),MATCH(Table1[[#This Row],[Complexidade]],Auxiliar!$D$4:$F$4,0))</f>
        <v>4</v>
      </c>
      <c r="P180" s="2" t="s">
        <v>1196</v>
      </c>
      <c r="Q180" s="2" t="s">
        <v>1204</v>
      </c>
      <c r="R180" s="151">
        <v>45261</v>
      </c>
      <c r="S180" s="151"/>
      <c r="T180" s="151">
        <v>45491</v>
      </c>
      <c r="U180" s="151">
        <v>45495</v>
      </c>
      <c r="V180" s="151">
        <v>45495</v>
      </c>
      <c r="W180" s="2">
        <f>VLOOKUP(Table1[[#This Row],[Status]],Auxiliar!$B$16:$D$24,3,0)*Table1[[#This Row],[Estimação (horas)]]</f>
        <v>4</v>
      </c>
      <c r="X180" s="2"/>
    </row>
    <row r="181" spans="2:24" ht="17.7"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1190</v>
      </c>
      <c r="L181" s="28" t="s">
        <v>1185</v>
      </c>
      <c r="M181" s="20" t="s">
        <v>1195</v>
      </c>
      <c r="N181" s="47">
        <v>45505</v>
      </c>
      <c r="O181" s="20">
        <f>INDEX(Auxiliar!$D$5:$F$13,MATCH(Table1[[#This Row],[Tipologia_Testes]],Auxiliar!$B$5:$B$13,0),MATCH(Table1[[#This Row],[Complexidade]],Auxiliar!$D$4:$F$4,0))</f>
        <v>0.1</v>
      </c>
      <c r="P181" s="2" t="s">
        <v>1196</v>
      </c>
      <c r="Q181" s="2" t="s">
        <v>1204</v>
      </c>
      <c r="R181" s="151">
        <v>45261</v>
      </c>
      <c r="S181" s="151"/>
      <c r="T181" s="151">
        <v>45491</v>
      </c>
      <c r="U181" s="151">
        <v>45495</v>
      </c>
      <c r="V181" s="151">
        <v>45495</v>
      </c>
      <c r="W181" s="2">
        <f>VLOOKUP(Table1[[#This Row],[Status]],Auxiliar!$B$16:$D$24,3,0)*Table1[[#This Row],[Estimação (horas)]]</f>
        <v>0.1</v>
      </c>
      <c r="X181" s="2"/>
    </row>
    <row r="182" spans="2:24" ht="17.7"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1187</v>
      </c>
      <c r="L182" s="28" t="s">
        <v>1185</v>
      </c>
      <c r="M182" s="20" t="s">
        <v>1195</v>
      </c>
      <c r="N182" s="47">
        <v>45505</v>
      </c>
      <c r="O182" s="20">
        <f>INDEX(Auxiliar!$D$5:$F$13,MATCH(Table1[[#This Row],[Tipologia_Testes]],Auxiliar!$B$5:$B$13,0),MATCH(Table1[[#This Row],[Complexidade]],Auxiliar!$D$4:$F$4,0))</f>
        <v>4</v>
      </c>
      <c r="P182" s="2" t="s">
        <v>1196</v>
      </c>
      <c r="Q182" s="2" t="s">
        <v>1204</v>
      </c>
      <c r="R182" s="151">
        <v>45261</v>
      </c>
      <c r="S182" s="151"/>
      <c r="T182" s="151">
        <v>45491</v>
      </c>
      <c r="U182" s="151">
        <v>45495</v>
      </c>
      <c r="V182" s="151">
        <v>45495</v>
      </c>
      <c r="W182" s="2">
        <f>VLOOKUP(Table1[[#This Row],[Status]],Auxiliar!$B$16:$D$24,3,0)*Table1[[#This Row],[Estimação (horas)]]</f>
        <v>4</v>
      </c>
      <c r="X182" s="2"/>
    </row>
    <row r="183" spans="2:24" ht="17.7"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1188</v>
      </c>
      <c r="L183" s="28" t="s">
        <v>1185</v>
      </c>
      <c r="M183" s="20" t="s">
        <v>1195</v>
      </c>
      <c r="N183" s="47">
        <v>45505</v>
      </c>
      <c r="O183" s="20">
        <f>INDEX(Auxiliar!$D$5:$F$13,MATCH(Table1[[#This Row],[Tipologia_Testes]],Auxiliar!$B$5:$B$13,0),MATCH(Table1[[#This Row],[Complexidade]],Auxiliar!$D$4:$F$4,0))</f>
        <v>4</v>
      </c>
      <c r="P183" s="2" t="s">
        <v>1196</v>
      </c>
      <c r="Q183" s="2" t="s">
        <v>1204</v>
      </c>
      <c r="R183" s="151">
        <v>45261</v>
      </c>
      <c r="S183" s="151"/>
      <c r="T183" s="151">
        <v>45491</v>
      </c>
      <c r="U183" s="151">
        <v>45495</v>
      </c>
      <c r="V183" s="151">
        <v>45495</v>
      </c>
      <c r="W183" s="2">
        <f>VLOOKUP(Table1[[#This Row],[Status]],Auxiliar!$B$16:$D$24,3,0)*Table1[[#This Row],[Estimação (horas)]]</f>
        <v>4</v>
      </c>
      <c r="X183" s="2"/>
    </row>
    <row r="184" spans="2:24" ht="17.7"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1190</v>
      </c>
      <c r="L184" s="28" t="s">
        <v>1185</v>
      </c>
      <c r="M184" s="20" t="s">
        <v>1195</v>
      </c>
      <c r="N184" s="47">
        <v>45505</v>
      </c>
      <c r="O184" s="20">
        <f>INDEX(Auxiliar!$D$5:$F$13,MATCH(Table1[[#This Row],[Tipologia_Testes]],Auxiliar!$B$5:$B$13,0),MATCH(Table1[[#This Row],[Complexidade]],Auxiliar!$D$4:$F$4,0))</f>
        <v>0.1</v>
      </c>
      <c r="P184" s="2" t="s">
        <v>1196</v>
      </c>
      <c r="Q184" s="2" t="s">
        <v>1204</v>
      </c>
      <c r="R184" s="151">
        <v>45261</v>
      </c>
      <c r="S184" s="151"/>
      <c r="T184" s="151">
        <v>45491</v>
      </c>
      <c r="U184" s="151">
        <v>45495</v>
      </c>
      <c r="V184" s="151">
        <v>45495</v>
      </c>
      <c r="W184" s="2">
        <f>VLOOKUP(Table1[[#This Row],[Status]],Auxiliar!$B$16:$D$24,3,0)*Table1[[#This Row],[Estimação (horas)]]</f>
        <v>0.1</v>
      </c>
      <c r="X184" s="2"/>
    </row>
    <row r="185" spans="2:24" ht="17.7"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1187</v>
      </c>
      <c r="L185" s="28" t="s">
        <v>1193</v>
      </c>
      <c r="M185" s="20" t="s">
        <v>1194</v>
      </c>
      <c r="N185" s="47">
        <v>45485</v>
      </c>
      <c r="O185" s="20">
        <f>INDEX(Auxiliar!$D$5:$F$13,MATCH(Table1[[#This Row],[Tipologia_Testes]],Auxiliar!$B$5:$B$13,0),MATCH(Table1[[#This Row],[Complexidade]],Auxiliar!$D$4:$F$4,0))</f>
        <v>2</v>
      </c>
      <c r="P185" s="2"/>
      <c r="Q185" s="2" t="s">
        <v>1204</v>
      </c>
      <c r="R185" s="151">
        <v>45261</v>
      </c>
      <c r="S185" s="151"/>
      <c r="T185" s="151"/>
      <c r="U185" s="151"/>
      <c r="V185" s="151"/>
      <c r="W185" s="2">
        <f>VLOOKUP(Table1[[#This Row],[Status]],Auxiliar!$B$16:$D$24,3,0)*Table1[[#This Row],[Estimação (horas)]]</f>
        <v>2</v>
      </c>
      <c r="X185" s="2"/>
    </row>
    <row r="186" spans="2:24" ht="17.7"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1188</v>
      </c>
      <c r="L186" s="28" t="s">
        <v>1193</v>
      </c>
      <c r="M186" s="20" t="s">
        <v>1194</v>
      </c>
      <c r="N186" s="47">
        <v>45485</v>
      </c>
      <c r="O186" s="20">
        <f>INDEX(Auxiliar!$D$5:$F$13,MATCH(Table1[[#This Row],[Tipologia_Testes]],Auxiliar!$B$5:$B$13,0),MATCH(Table1[[#This Row],[Complexidade]],Auxiliar!$D$4:$F$4,0))</f>
        <v>2</v>
      </c>
      <c r="P186" s="2"/>
      <c r="Q186" s="2" t="s">
        <v>1204</v>
      </c>
      <c r="R186" s="151">
        <v>45261</v>
      </c>
      <c r="S186" s="151"/>
      <c r="T186" s="151"/>
      <c r="U186" s="151"/>
      <c r="V186" s="151"/>
      <c r="W186" s="2">
        <f>VLOOKUP(Table1[[#This Row],[Status]],Auxiliar!$B$16:$D$24,3,0)*Table1[[#This Row],[Estimação (horas)]]</f>
        <v>2</v>
      </c>
      <c r="X186" s="2"/>
    </row>
    <row r="187" spans="2:24" ht="17.7"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1190</v>
      </c>
      <c r="L187" s="28" t="s">
        <v>1193</v>
      </c>
      <c r="M187" s="20" t="s">
        <v>1194</v>
      </c>
      <c r="N187" s="47">
        <v>45485</v>
      </c>
      <c r="O187" s="20">
        <f>INDEX(Auxiliar!$D$5:$F$13,MATCH(Table1[[#This Row],[Tipologia_Testes]],Auxiliar!$B$5:$B$13,0),MATCH(Table1[[#This Row],[Complexidade]],Auxiliar!$D$4:$F$4,0))</f>
        <v>0.1</v>
      </c>
      <c r="P187" s="2"/>
      <c r="Q187" s="2" t="s">
        <v>1204</v>
      </c>
      <c r="R187" s="151">
        <v>45261</v>
      </c>
      <c r="S187" s="151"/>
      <c r="T187" s="151"/>
      <c r="U187" s="151"/>
      <c r="V187" s="151"/>
      <c r="W187" s="2">
        <f>VLOOKUP(Table1[[#This Row],[Status]],Auxiliar!$B$16:$D$24,3,0)*Table1[[#This Row],[Estimação (horas)]]</f>
        <v>0.1</v>
      </c>
      <c r="X187" s="2"/>
    </row>
    <row r="188" spans="2:24" ht="17.7"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1187</v>
      </c>
      <c r="L188" s="28" t="s">
        <v>1193</v>
      </c>
      <c r="M188" s="20" t="s">
        <v>1194</v>
      </c>
      <c r="N188" s="47">
        <v>45490</v>
      </c>
      <c r="O188" s="20">
        <f>INDEX(Auxiliar!$D$5:$F$13,MATCH(Table1[[#This Row],[Tipologia_Testes]],Auxiliar!$B$5:$B$13,0),MATCH(Table1[[#This Row],[Complexidade]],Auxiliar!$D$4:$F$4,0))</f>
        <v>2</v>
      </c>
      <c r="P188" s="2"/>
      <c r="Q188" s="2" t="s">
        <v>1204</v>
      </c>
      <c r="R188" s="151">
        <v>45261</v>
      </c>
      <c r="S188" s="151"/>
      <c r="T188" s="151"/>
      <c r="U188" s="151"/>
      <c r="V188" s="151"/>
      <c r="W188" s="2">
        <f>VLOOKUP(Table1[[#This Row],[Status]],Auxiliar!$B$16:$D$24,3,0)*Table1[[#This Row],[Estimação (horas)]]</f>
        <v>2</v>
      </c>
      <c r="X188" s="2"/>
    </row>
    <row r="189" spans="2:24" ht="17.7"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1188</v>
      </c>
      <c r="L189" s="28" t="s">
        <v>1193</v>
      </c>
      <c r="M189" s="20" t="s">
        <v>1194</v>
      </c>
      <c r="N189" s="47">
        <v>45490</v>
      </c>
      <c r="O189" s="20">
        <f>INDEX(Auxiliar!$D$5:$F$13,MATCH(Table1[[#This Row],[Tipologia_Testes]],Auxiliar!$B$5:$B$13,0),MATCH(Table1[[#This Row],[Complexidade]],Auxiliar!$D$4:$F$4,0))</f>
        <v>2</v>
      </c>
      <c r="P189" s="2"/>
      <c r="Q189" s="2" t="s">
        <v>1204</v>
      </c>
      <c r="R189" s="151">
        <v>45261</v>
      </c>
      <c r="S189" s="151"/>
      <c r="T189" s="151"/>
      <c r="U189" s="151"/>
      <c r="V189" s="151"/>
      <c r="W189" s="2">
        <f>VLOOKUP(Table1[[#This Row],[Status]],Auxiliar!$B$16:$D$24,3,0)*Table1[[#This Row],[Estimação (horas)]]</f>
        <v>2</v>
      </c>
      <c r="X189" s="2"/>
    </row>
    <row r="190" spans="2:24" ht="17.7"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1190</v>
      </c>
      <c r="L190" s="28" t="s">
        <v>1193</v>
      </c>
      <c r="M190" s="20" t="s">
        <v>1194</v>
      </c>
      <c r="N190" s="47">
        <v>45490</v>
      </c>
      <c r="O190" s="20">
        <f>INDEX(Auxiliar!$D$5:$F$13,MATCH(Table1[[#This Row],[Tipologia_Testes]],Auxiliar!$B$5:$B$13,0),MATCH(Table1[[#This Row],[Complexidade]],Auxiliar!$D$4:$F$4,0))</f>
        <v>0.1</v>
      </c>
      <c r="P190" s="2"/>
      <c r="Q190" s="2" t="s">
        <v>1204</v>
      </c>
      <c r="R190" s="151">
        <v>45261</v>
      </c>
      <c r="S190" s="151"/>
      <c r="T190" s="151"/>
      <c r="U190" s="151"/>
      <c r="V190" s="151"/>
      <c r="W190" s="2">
        <f>VLOOKUP(Table1[[#This Row],[Status]],Auxiliar!$B$16:$D$24,3,0)*Table1[[#This Row],[Estimação (horas)]]</f>
        <v>0.1</v>
      </c>
      <c r="X190" s="2"/>
    </row>
    <row r="191" spans="2:24" ht="17.7" hidden="1" customHeight="1">
      <c r="B191" s="2" t="s">
        <v>26</v>
      </c>
      <c r="C191" s="2" t="s">
        <v>54</v>
      </c>
      <c r="D191" s="2" t="s">
        <v>95</v>
      </c>
      <c r="E191" s="2" t="s">
        <v>38</v>
      </c>
      <c r="F191" s="2" t="s">
        <v>94</v>
      </c>
      <c r="G191" s="2" t="s">
        <v>2225</v>
      </c>
      <c r="H191" s="56" t="str">
        <f>Table1[[#This Row],[Tabela]]&amp;Table1[[#This Row],[Campo]]</f>
        <v>PROPERTYPROPERTY_CODE</v>
      </c>
      <c r="I191" s="2" t="s">
        <v>612</v>
      </c>
      <c r="J191" s="42">
        <f>VLOOKUP(Table1[[#This Row],[Status]],Auxiliar!$B$16:$C$24,2,0)</f>
        <v>1</v>
      </c>
      <c r="K191" s="2" t="s">
        <v>1187</v>
      </c>
      <c r="L191" s="28" t="s">
        <v>1193</v>
      </c>
      <c r="M191" s="20" t="s">
        <v>1194</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7" hidden="1" customHeight="1">
      <c r="B192" s="2" t="s">
        <v>26</v>
      </c>
      <c r="C192" s="2" t="s">
        <v>54</v>
      </c>
      <c r="D192" s="2" t="s">
        <v>95</v>
      </c>
      <c r="E192" s="2" t="s">
        <v>38</v>
      </c>
      <c r="F192" s="2" t="s">
        <v>94</v>
      </c>
      <c r="G192" s="2" t="s">
        <v>2225</v>
      </c>
      <c r="H192" s="56" t="str">
        <f>Table1[[#This Row],[Tabela]]&amp;Table1[[#This Row],[Campo]]</f>
        <v>PROPERTYPROPERTY_CODE</v>
      </c>
      <c r="I192" s="2" t="s">
        <v>612</v>
      </c>
      <c r="J192" s="42">
        <f>VLOOKUP(Table1[[#This Row],[Status]],Auxiliar!$B$16:$C$24,2,0)</f>
        <v>1</v>
      </c>
      <c r="K192" s="2" t="s">
        <v>1188</v>
      </c>
      <c r="L192" s="28" t="s">
        <v>1193</v>
      </c>
      <c r="M192" s="20" t="s">
        <v>1194</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7" hidden="1" customHeight="1">
      <c r="B193" s="2" t="s">
        <v>26</v>
      </c>
      <c r="C193" s="2" t="s">
        <v>54</v>
      </c>
      <c r="D193" s="2" t="s">
        <v>95</v>
      </c>
      <c r="E193" s="2" t="s">
        <v>38</v>
      </c>
      <c r="F193" s="2" t="s">
        <v>94</v>
      </c>
      <c r="G193" s="2" t="s">
        <v>2225</v>
      </c>
      <c r="H193" s="56" t="str">
        <f>Table1[[#This Row],[Tabela]]&amp;Table1[[#This Row],[Campo]]</f>
        <v>PROPERTYPROPERTY_CODE</v>
      </c>
      <c r="I193" s="2" t="s">
        <v>612</v>
      </c>
      <c r="J193" s="42">
        <f>VLOOKUP(Table1[[#This Row],[Status]],Auxiliar!$B$16:$C$24,2,0)</f>
        <v>1</v>
      </c>
      <c r="K193" s="2" t="s">
        <v>1190</v>
      </c>
      <c r="L193" s="28" t="s">
        <v>1193</v>
      </c>
      <c r="M193" s="20" t="s">
        <v>1194</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1184</v>
      </c>
      <c r="L194" s="28" t="s">
        <v>1185</v>
      </c>
      <c r="M194" s="20" t="s">
        <v>1194</v>
      </c>
      <c r="N194" s="47">
        <v>45485</v>
      </c>
      <c r="O194" s="20">
        <f>INDEX(Auxiliar!$D$5:$F$13,MATCH(Table1[[#This Row],[Tipologia_Testes]],Auxiliar!$B$5:$B$13,0),MATCH(Table1[[#This Row],[Complexidade]],Auxiliar!$D$4:$F$4,0))</f>
        <v>8</v>
      </c>
      <c r="P194" s="22" t="s">
        <v>1209</v>
      </c>
      <c r="Q194" s="2"/>
      <c r="R194" s="151">
        <v>45261</v>
      </c>
      <c r="S194" s="151"/>
      <c r="T194" s="151"/>
      <c r="U194" s="151"/>
      <c r="V194" s="151"/>
      <c r="W194" s="2">
        <f>VLOOKUP(Table1[[#This Row],[Status]],Auxiliar!$B$16:$D$24,3,0)*Table1[[#This Row],[Estimação (horas)]]</f>
        <v>8</v>
      </c>
      <c r="X194" s="2"/>
    </row>
    <row r="195" spans="2:24" ht="17.7"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1187</v>
      </c>
      <c r="L195" s="28" t="s">
        <v>1185</v>
      </c>
      <c r="M195" s="20" t="s">
        <v>1194</v>
      </c>
      <c r="N195" s="47">
        <v>45485</v>
      </c>
      <c r="O195" s="20">
        <f>INDEX(Auxiliar!$D$5:$F$13,MATCH(Table1[[#This Row],[Tipologia_Testes]],Auxiliar!$B$5:$B$13,0),MATCH(Table1[[#This Row],[Complexidade]],Auxiliar!$D$4:$F$4,0))</f>
        <v>2</v>
      </c>
      <c r="P195" s="2" t="s">
        <v>1210</v>
      </c>
      <c r="Q195" s="2"/>
      <c r="R195" s="151">
        <v>45261</v>
      </c>
      <c r="S195" s="151"/>
      <c r="T195" s="151"/>
      <c r="U195" s="151"/>
      <c r="V195" s="151"/>
      <c r="W195" s="2">
        <f>VLOOKUP(Table1[[#This Row],[Status]],Auxiliar!$B$16:$D$24,3,0)*Table1[[#This Row],[Estimação (horas)]]</f>
        <v>2</v>
      </c>
      <c r="X195" s="2"/>
    </row>
    <row r="196" spans="2:24" ht="17.7"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1188</v>
      </c>
      <c r="L196" s="28" t="s">
        <v>1185</v>
      </c>
      <c r="M196" s="20" t="s">
        <v>1194</v>
      </c>
      <c r="N196" s="47">
        <v>45485</v>
      </c>
      <c r="O196" s="20">
        <f>INDEX(Auxiliar!$D$5:$F$13,MATCH(Table1[[#This Row],[Tipologia_Testes]],Auxiliar!$B$5:$B$13,0),MATCH(Table1[[#This Row],[Complexidade]],Auxiliar!$D$4:$F$4,0))</f>
        <v>2</v>
      </c>
      <c r="P196" s="2" t="s">
        <v>1210</v>
      </c>
      <c r="Q196" s="2"/>
      <c r="R196" s="151">
        <v>45261</v>
      </c>
      <c r="S196" s="151"/>
      <c r="T196" s="151"/>
      <c r="U196" s="151"/>
      <c r="V196" s="151"/>
      <c r="W196" s="2">
        <f>VLOOKUP(Table1[[#This Row],[Status]],Auxiliar!$B$16:$D$24,3,0)*Table1[[#This Row],[Estimação (horas)]]</f>
        <v>2</v>
      </c>
      <c r="X196" s="2"/>
    </row>
    <row r="197" spans="2:24" ht="17.7"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1190</v>
      </c>
      <c r="L197" s="28" t="s">
        <v>1185</v>
      </c>
      <c r="M197" s="20" t="s">
        <v>1194</v>
      </c>
      <c r="N197" s="47">
        <v>45485</v>
      </c>
      <c r="O197" s="20">
        <f>INDEX(Auxiliar!$D$5:$F$13,MATCH(Table1[[#This Row],[Tipologia_Testes]],Auxiliar!$B$5:$B$13,0),MATCH(Table1[[#This Row],[Complexidade]],Auxiliar!$D$4:$F$4,0))</f>
        <v>0.1</v>
      </c>
      <c r="P197" s="2" t="s">
        <v>1210</v>
      </c>
      <c r="Q197" s="2"/>
      <c r="R197" s="151">
        <v>45261</v>
      </c>
      <c r="S197" s="151"/>
      <c r="T197" s="151"/>
      <c r="U197" s="151"/>
      <c r="V197" s="151"/>
      <c r="W197" s="2">
        <f>VLOOKUP(Table1[[#This Row],[Status]],Auxiliar!$B$16:$D$24,3,0)*Table1[[#This Row],[Estimação (horas)]]</f>
        <v>0.1</v>
      </c>
      <c r="X197" s="2"/>
    </row>
    <row r="198" spans="2:24" ht="17.7"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1187</v>
      </c>
      <c r="L198" s="28" t="s">
        <v>1185</v>
      </c>
      <c r="M198" s="20" t="s">
        <v>1194</v>
      </c>
      <c r="N198" s="47">
        <v>45485</v>
      </c>
      <c r="O198" s="20">
        <f>INDEX(Auxiliar!$D$5:$F$13,MATCH(Table1[[#This Row],[Tipologia_Testes]],Auxiliar!$B$5:$B$13,0),MATCH(Table1[[#This Row],[Complexidade]],Auxiliar!$D$4:$F$4,0))</f>
        <v>2</v>
      </c>
      <c r="P198" s="2" t="s">
        <v>1210</v>
      </c>
      <c r="Q198" s="2"/>
      <c r="R198" s="151">
        <v>45261</v>
      </c>
      <c r="S198" s="151"/>
      <c r="T198" s="151"/>
      <c r="U198" s="151"/>
      <c r="V198" s="151"/>
      <c r="W198" s="2">
        <f>VLOOKUP(Table1[[#This Row],[Status]],Auxiliar!$B$16:$D$24,3,0)*Table1[[#This Row],[Estimação (horas)]]</f>
        <v>2</v>
      </c>
      <c r="X198" s="2"/>
    </row>
    <row r="199" spans="2:24" ht="17.7"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1188</v>
      </c>
      <c r="L199" s="28" t="s">
        <v>1185</v>
      </c>
      <c r="M199" s="20" t="s">
        <v>1194</v>
      </c>
      <c r="N199" s="47">
        <v>45485</v>
      </c>
      <c r="O199" s="20">
        <f>INDEX(Auxiliar!$D$5:$F$13,MATCH(Table1[[#This Row],[Tipologia_Testes]],Auxiliar!$B$5:$B$13,0),MATCH(Table1[[#This Row],[Complexidade]],Auxiliar!$D$4:$F$4,0))</f>
        <v>2</v>
      </c>
      <c r="P199" s="2" t="s">
        <v>1210</v>
      </c>
      <c r="Q199" s="2"/>
      <c r="R199" s="151">
        <v>45261</v>
      </c>
      <c r="S199" s="151"/>
      <c r="T199" s="151"/>
      <c r="U199" s="151"/>
      <c r="V199" s="151"/>
      <c r="W199" s="2">
        <f>VLOOKUP(Table1[[#This Row],[Status]],Auxiliar!$B$16:$D$24,3,0)*Table1[[#This Row],[Estimação (horas)]]</f>
        <v>2</v>
      </c>
      <c r="X199" s="2"/>
    </row>
    <row r="200" spans="2:24" ht="17.7"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1190</v>
      </c>
      <c r="L200" s="28" t="s">
        <v>1185</v>
      </c>
      <c r="M200" s="20" t="s">
        <v>1194</v>
      </c>
      <c r="N200" s="47">
        <v>45485</v>
      </c>
      <c r="O200" s="20">
        <f>INDEX(Auxiliar!$D$5:$F$13,MATCH(Table1[[#This Row],[Tipologia_Testes]],Auxiliar!$B$5:$B$13,0),MATCH(Table1[[#This Row],[Complexidade]],Auxiliar!$D$4:$F$4,0))</f>
        <v>0.1</v>
      </c>
      <c r="P200" s="2" t="s">
        <v>1210</v>
      </c>
      <c r="Q200" s="2"/>
      <c r="R200" s="151">
        <v>45261</v>
      </c>
      <c r="S200" s="151"/>
      <c r="T200" s="151"/>
      <c r="U200" s="151"/>
      <c r="V200" s="151"/>
      <c r="W200" s="2">
        <f>VLOOKUP(Table1[[#This Row],[Status]],Auxiliar!$B$16:$D$24,3,0)*Table1[[#This Row],[Estimação (horas)]]</f>
        <v>0.1</v>
      </c>
      <c r="X200" s="2"/>
    </row>
    <row r="201" spans="2:24" ht="17.7"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1187</v>
      </c>
      <c r="L201" s="28" t="s">
        <v>1185</v>
      </c>
      <c r="M201" s="20" t="s">
        <v>1194</v>
      </c>
      <c r="N201" s="47">
        <v>45485</v>
      </c>
      <c r="O201" s="20">
        <f>INDEX(Auxiliar!$D$5:$F$13,MATCH(Table1[[#This Row],[Tipologia_Testes]],Auxiliar!$B$5:$B$13,0),MATCH(Table1[[#This Row],[Complexidade]],Auxiliar!$D$4:$F$4,0))</f>
        <v>2</v>
      </c>
      <c r="P201" s="2" t="s">
        <v>1210</v>
      </c>
      <c r="Q201" s="2"/>
      <c r="R201" s="151">
        <v>45261</v>
      </c>
      <c r="S201" s="151"/>
      <c r="T201" s="151"/>
      <c r="U201" s="151"/>
      <c r="V201" s="151"/>
      <c r="W201" s="2">
        <f>VLOOKUP(Table1[[#This Row],[Status]],Auxiliar!$B$16:$D$24,3,0)*Table1[[#This Row],[Estimação (horas)]]</f>
        <v>2</v>
      </c>
      <c r="X201" s="2"/>
    </row>
    <row r="202" spans="2:24" ht="17.7"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1188</v>
      </c>
      <c r="L202" s="28" t="s">
        <v>1185</v>
      </c>
      <c r="M202" s="20" t="s">
        <v>1194</v>
      </c>
      <c r="N202" s="47">
        <v>45485</v>
      </c>
      <c r="O202" s="20">
        <f>INDEX(Auxiliar!$D$5:$F$13,MATCH(Table1[[#This Row],[Tipologia_Testes]],Auxiliar!$B$5:$B$13,0),MATCH(Table1[[#This Row],[Complexidade]],Auxiliar!$D$4:$F$4,0))</f>
        <v>2</v>
      </c>
      <c r="P202" s="2" t="s">
        <v>1210</v>
      </c>
      <c r="Q202" s="2"/>
      <c r="R202" s="151">
        <v>45261</v>
      </c>
      <c r="S202" s="151"/>
      <c r="T202" s="151"/>
      <c r="U202" s="151"/>
      <c r="V202" s="151"/>
      <c r="W202" s="2">
        <f>VLOOKUP(Table1[[#This Row],[Status]],Auxiliar!$B$16:$D$24,3,0)*Table1[[#This Row],[Estimação (horas)]]</f>
        <v>2</v>
      </c>
      <c r="X202" s="2"/>
    </row>
    <row r="203" spans="2:24" ht="17.7"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1190</v>
      </c>
      <c r="L203" s="28" t="s">
        <v>1185</v>
      </c>
      <c r="M203" s="20" t="s">
        <v>1194</v>
      </c>
      <c r="N203" s="47">
        <v>45485</v>
      </c>
      <c r="O203" s="20">
        <f>INDEX(Auxiliar!$D$5:$F$13,MATCH(Table1[[#This Row],[Tipologia_Testes]],Auxiliar!$B$5:$B$13,0),MATCH(Table1[[#This Row],[Complexidade]],Auxiliar!$D$4:$F$4,0))</f>
        <v>0.1</v>
      </c>
      <c r="P203" s="2" t="s">
        <v>1210</v>
      </c>
      <c r="Q203" s="2"/>
      <c r="R203" s="151">
        <v>45261</v>
      </c>
      <c r="S203" s="151"/>
      <c r="T203" s="151"/>
      <c r="U203" s="151"/>
      <c r="V203" s="151"/>
      <c r="W203" s="2">
        <f>VLOOKUP(Table1[[#This Row],[Status]],Auxiliar!$B$16:$D$24,3,0)*Table1[[#This Row],[Estimação (horas)]]</f>
        <v>0.1</v>
      </c>
      <c r="X203" s="2"/>
    </row>
    <row r="204" spans="2:24" ht="17.7"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1187</v>
      </c>
      <c r="L204" s="28" t="s">
        <v>1185</v>
      </c>
      <c r="M204" s="20" t="s">
        <v>1194</v>
      </c>
      <c r="N204" s="47">
        <v>45485</v>
      </c>
      <c r="O204" s="20">
        <f>INDEX(Auxiliar!$D$5:$F$13,MATCH(Table1[[#This Row],[Tipologia_Testes]],Auxiliar!$B$5:$B$13,0),MATCH(Table1[[#This Row],[Complexidade]],Auxiliar!$D$4:$F$4,0))</f>
        <v>2</v>
      </c>
      <c r="P204" s="2" t="s">
        <v>1210</v>
      </c>
      <c r="Q204" s="2"/>
      <c r="R204" s="151">
        <v>45261</v>
      </c>
      <c r="S204" s="151"/>
      <c r="T204" s="151"/>
      <c r="U204" s="151"/>
      <c r="V204" s="151"/>
      <c r="W204" s="2">
        <f>VLOOKUP(Table1[[#This Row],[Status]],Auxiliar!$B$16:$D$24,3,0)*Table1[[#This Row],[Estimação (horas)]]</f>
        <v>2</v>
      </c>
      <c r="X204" s="2"/>
    </row>
    <row r="205" spans="2:24" ht="17.7"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1188</v>
      </c>
      <c r="L205" s="28" t="s">
        <v>1185</v>
      </c>
      <c r="M205" s="20" t="s">
        <v>1194</v>
      </c>
      <c r="N205" s="47">
        <v>45485</v>
      </c>
      <c r="O205" s="20">
        <f>INDEX(Auxiliar!$D$5:$F$13,MATCH(Table1[[#This Row],[Tipologia_Testes]],Auxiliar!$B$5:$B$13,0),MATCH(Table1[[#This Row],[Complexidade]],Auxiliar!$D$4:$F$4,0))</f>
        <v>2</v>
      </c>
      <c r="P205" s="2" t="s">
        <v>1210</v>
      </c>
      <c r="Q205" s="2"/>
      <c r="R205" s="151">
        <v>45261</v>
      </c>
      <c r="S205" s="151"/>
      <c r="T205" s="151"/>
      <c r="U205" s="151"/>
      <c r="V205" s="151"/>
      <c r="W205" s="2">
        <f>VLOOKUP(Table1[[#This Row],[Status]],Auxiliar!$B$16:$D$24,3,0)*Table1[[#This Row],[Estimação (horas)]]</f>
        <v>2</v>
      </c>
      <c r="X205" s="2"/>
    </row>
    <row r="206" spans="2:24" ht="17.7"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1190</v>
      </c>
      <c r="L206" s="28" t="s">
        <v>1185</v>
      </c>
      <c r="M206" s="20" t="s">
        <v>1194</v>
      </c>
      <c r="N206" s="47">
        <v>45485</v>
      </c>
      <c r="O206" s="20">
        <f>INDEX(Auxiliar!$D$5:$F$13,MATCH(Table1[[#This Row],[Tipologia_Testes]],Auxiliar!$B$5:$B$13,0),MATCH(Table1[[#This Row],[Complexidade]],Auxiliar!$D$4:$F$4,0))</f>
        <v>0.1</v>
      </c>
      <c r="P206" s="2" t="s">
        <v>1210</v>
      </c>
      <c r="Q206" s="2"/>
      <c r="R206" s="151">
        <v>45261</v>
      </c>
      <c r="S206" s="151"/>
      <c r="T206" s="151"/>
      <c r="U206" s="151"/>
      <c r="V206" s="151"/>
      <c r="W206" s="2">
        <f>VLOOKUP(Table1[[#This Row],[Status]],Auxiliar!$B$16:$D$24,3,0)*Table1[[#This Row],[Estimação (horas)]]</f>
        <v>0.1</v>
      </c>
      <c r="X206" s="2"/>
    </row>
    <row r="207" spans="2:24" ht="17.7"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1187</v>
      </c>
      <c r="L207" s="28" t="s">
        <v>1185</v>
      </c>
      <c r="M207" s="20" t="s">
        <v>1194</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7"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1188</v>
      </c>
      <c r="L208" s="28" t="s">
        <v>1185</v>
      </c>
      <c r="M208" s="20" t="s">
        <v>1194</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7"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1190</v>
      </c>
      <c r="L209" s="28" t="s">
        <v>1185</v>
      </c>
      <c r="M209" s="20" t="s">
        <v>1194</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7"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1187</v>
      </c>
      <c r="L210" s="28" t="s">
        <v>1185</v>
      </c>
      <c r="M210" s="20" t="s">
        <v>1194</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7"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1188</v>
      </c>
      <c r="L211" s="28" t="s">
        <v>1185</v>
      </c>
      <c r="M211" s="20" t="s">
        <v>1194</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7"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1190</v>
      </c>
      <c r="L212" s="28" t="s">
        <v>1185</v>
      </c>
      <c r="M212" s="20" t="s">
        <v>1194</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7"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1187</v>
      </c>
      <c r="L213" s="28" t="s">
        <v>1185</v>
      </c>
      <c r="M213" s="20" t="s">
        <v>1194</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7"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1188</v>
      </c>
      <c r="L214" s="28" t="s">
        <v>1185</v>
      </c>
      <c r="M214" s="20" t="s">
        <v>1194</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7"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1190</v>
      </c>
      <c r="L215" s="28" t="s">
        <v>1185</v>
      </c>
      <c r="M215" s="20" t="s">
        <v>1194</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7"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1187</v>
      </c>
      <c r="L216" s="28" t="s">
        <v>1185</v>
      </c>
      <c r="M216" s="20" t="s">
        <v>1194</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7"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1188</v>
      </c>
      <c r="L217" s="28" t="s">
        <v>1185</v>
      </c>
      <c r="M217" s="20" t="s">
        <v>1194</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7"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1190</v>
      </c>
      <c r="L218" s="28" t="s">
        <v>1185</v>
      </c>
      <c r="M218" s="20" t="s">
        <v>1194</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7"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1187</v>
      </c>
      <c r="L219" s="28" t="s">
        <v>1185</v>
      </c>
      <c r="M219" s="20" t="s">
        <v>1194</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7"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1188</v>
      </c>
      <c r="L220" s="28" t="s">
        <v>1185</v>
      </c>
      <c r="M220" s="20" t="s">
        <v>1194</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7"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1190</v>
      </c>
      <c r="L221" s="28" t="s">
        <v>1185</v>
      </c>
      <c r="M221" s="20" t="s">
        <v>1194</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7" hidden="1" customHeight="1">
      <c r="B222" s="2" t="s">
        <v>26</v>
      </c>
      <c r="C222" s="2" t="s">
        <v>54</v>
      </c>
      <c r="D222" s="2" t="s">
        <v>124</v>
      </c>
      <c r="E222" s="2" t="s">
        <v>38</v>
      </c>
      <c r="F222" s="2" t="s">
        <v>123</v>
      </c>
      <c r="G222" s="2" t="s">
        <v>47</v>
      </c>
      <c r="H222" s="56" t="str">
        <f>Table1[[#This Row],[Tabela]]&amp;Table1[[#This Row],[Campo]]</f>
        <v>PROPERTY_ENERGY_CERTIFICATEEPC</v>
      </c>
      <c r="I222" s="2" t="s">
        <v>617</v>
      </c>
      <c r="J222" s="42">
        <f>VLOOKUP(Table1[[#This Row],[Status]],Auxiliar!$B$16:$C$24,2,0)</f>
        <v>7</v>
      </c>
      <c r="K222" s="2" t="s">
        <v>1187</v>
      </c>
      <c r="L222" s="28" t="s">
        <v>1185</v>
      </c>
      <c r="M222" s="20" t="s">
        <v>1194</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7" hidden="1" customHeight="1">
      <c r="B223" s="2" t="s">
        <v>26</v>
      </c>
      <c r="C223" s="2" t="s">
        <v>54</v>
      </c>
      <c r="D223" s="2" t="s">
        <v>124</v>
      </c>
      <c r="E223" s="2" t="s">
        <v>38</v>
      </c>
      <c r="F223" s="2" t="s">
        <v>123</v>
      </c>
      <c r="G223" s="2" t="s">
        <v>47</v>
      </c>
      <c r="H223" s="56" t="str">
        <f>Table1[[#This Row],[Tabela]]&amp;Table1[[#This Row],[Campo]]</f>
        <v>PROPERTY_ENERGY_CERTIFICATEEPC</v>
      </c>
      <c r="I223" s="2" t="s">
        <v>617</v>
      </c>
      <c r="J223" s="42">
        <f>VLOOKUP(Table1[[#This Row],[Status]],Auxiliar!$B$16:$C$24,2,0)</f>
        <v>7</v>
      </c>
      <c r="K223" s="2" t="s">
        <v>1188</v>
      </c>
      <c r="L223" s="28" t="s">
        <v>1185</v>
      </c>
      <c r="M223" s="20" t="s">
        <v>1194</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7" hidden="1" customHeight="1">
      <c r="B224" s="2" t="s">
        <v>26</v>
      </c>
      <c r="C224" s="2" t="s">
        <v>54</v>
      </c>
      <c r="D224" s="2" t="s">
        <v>124</v>
      </c>
      <c r="E224" s="2" t="s">
        <v>38</v>
      </c>
      <c r="F224" s="2" t="s">
        <v>123</v>
      </c>
      <c r="G224" s="2" t="s">
        <v>47</v>
      </c>
      <c r="H224" s="56" t="str">
        <f>Table1[[#This Row],[Tabela]]&amp;Table1[[#This Row],[Campo]]</f>
        <v>PROPERTY_ENERGY_CERTIFICATEEPC</v>
      </c>
      <c r="I224" s="2" t="s">
        <v>617</v>
      </c>
      <c r="J224" s="42">
        <f>VLOOKUP(Table1[[#This Row],[Status]],Auxiliar!$B$16:$C$24,2,0)</f>
        <v>7</v>
      </c>
      <c r="K224" s="2" t="s">
        <v>1190</v>
      </c>
      <c r="L224" s="28" t="s">
        <v>1185</v>
      </c>
      <c r="M224" s="20" t="s">
        <v>1194</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7"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1187</v>
      </c>
      <c r="L225" s="28" t="s">
        <v>1185</v>
      </c>
      <c r="M225" s="20" t="s">
        <v>1194</v>
      </c>
      <c r="N225" s="47">
        <v>45485</v>
      </c>
      <c r="O225" s="20">
        <f>INDEX(Auxiliar!$D$5:$F$13,MATCH(Table1[[#This Row],[Tipologia_Testes]],Auxiliar!$B$5:$B$13,0),MATCH(Table1[[#This Row],[Complexidade]],Auxiliar!$D$4:$F$4,0))</f>
        <v>2</v>
      </c>
      <c r="P225" s="2" t="s">
        <v>1211</v>
      </c>
      <c r="Q225" s="2"/>
      <c r="R225" s="151">
        <v>45261</v>
      </c>
      <c r="S225" s="151"/>
      <c r="T225" s="151"/>
      <c r="U225" s="151"/>
      <c r="V225" s="151"/>
      <c r="W225" s="2">
        <f>VLOOKUP(Table1[[#This Row],[Status]],Auxiliar!$B$16:$D$24,3,0)*Table1[[#This Row],[Estimação (horas)]]</f>
        <v>2</v>
      </c>
      <c r="X225" s="2"/>
    </row>
    <row r="226" spans="2:24" ht="17.7"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1188</v>
      </c>
      <c r="L226" s="28" t="s">
        <v>1185</v>
      </c>
      <c r="M226" s="20" t="s">
        <v>1194</v>
      </c>
      <c r="N226" s="47">
        <v>45485</v>
      </c>
      <c r="O226" s="20">
        <f>INDEX(Auxiliar!$D$5:$F$13,MATCH(Table1[[#This Row],[Tipologia_Testes]],Auxiliar!$B$5:$B$13,0),MATCH(Table1[[#This Row],[Complexidade]],Auxiliar!$D$4:$F$4,0))</f>
        <v>2</v>
      </c>
      <c r="P226" s="2" t="s">
        <v>1211</v>
      </c>
      <c r="Q226" s="2"/>
      <c r="R226" s="151">
        <v>45261</v>
      </c>
      <c r="S226" s="151"/>
      <c r="T226" s="151"/>
      <c r="U226" s="151"/>
      <c r="V226" s="151"/>
      <c r="W226" s="2">
        <f>VLOOKUP(Table1[[#This Row],[Status]],Auxiliar!$B$16:$D$24,3,0)*Table1[[#This Row],[Estimação (horas)]]</f>
        <v>2</v>
      </c>
      <c r="X226" s="2"/>
    </row>
    <row r="227" spans="2:24" ht="17.7"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1190</v>
      </c>
      <c r="L227" s="28" t="s">
        <v>1185</v>
      </c>
      <c r="M227" s="20" t="s">
        <v>1194</v>
      </c>
      <c r="N227" s="47">
        <v>45485</v>
      </c>
      <c r="O227" s="20">
        <f>INDEX(Auxiliar!$D$5:$F$13,MATCH(Table1[[#This Row],[Tipologia_Testes]],Auxiliar!$B$5:$B$13,0),MATCH(Table1[[#This Row],[Complexidade]],Auxiliar!$D$4:$F$4,0))</f>
        <v>0.1</v>
      </c>
      <c r="P227" s="2" t="s">
        <v>1211</v>
      </c>
      <c r="Q227" s="2"/>
      <c r="R227" s="151">
        <v>45261</v>
      </c>
      <c r="S227" s="151"/>
      <c r="T227" s="151"/>
      <c r="U227" s="151"/>
      <c r="V227" s="151"/>
      <c r="W227" s="2">
        <f>VLOOKUP(Table1[[#This Row],[Status]],Auxiliar!$B$16:$D$24,3,0)*Table1[[#This Row],[Estimação (horas)]]</f>
        <v>0.1</v>
      </c>
      <c r="X227" s="2"/>
    </row>
    <row r="228" spans="2:24" ht="17.7"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1187</v>
      </c>
      <c r="L228" s="28" t="s">
        <v>1185</v>
      </c>
      <c r="M228" s="20" t="s">
        <v>1194</v>
      </c>
      <c r="N228" s="47">
        <v>45485</v>
      </c>
      <c r="O228" s="20">
        <f>INDEX(Auxiliar!$D$5:$F$13,MATCH(Table1[[#This Row],[Tipologia_Testes]],Auxiliar!$B$5:$B$13,0),MATCH(Table1[[#This Row],[Complexidade]],Auxiliar!$D$4:$F$4,0))</f>
        <v>2</v>
      </c>
      <c r="P228" s="2" t="s">
        <v>1211</v>
      </c>
      <c r="Q228" s="2"/>
      <c r="R228" s="151">
        <v>45261</v>
      </c>
      <c r="S228" s="151"/>
      <c r="T228" s="151"/>
      <c r="U228" s="151"/>
      <c r="V228" s="151"/>
      <c r="W228" s="2">
        <f>VLOOKUP(Table1[[#This Row],[Status]],Auxiliar!$B$16:$D$24,3,0)*Table1[[#This Row],[Estimação (horas)]]</f>
        <v>2</v>
      </c>
      <c r="X228" s="2"/>
    </row>
    <row r="229" spans="2:24" ht="17.7"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1188</v>
      </c>
      <c r="L229" s="28" t="s">
        <v>1185</v>
      </c>
      <c r="M229" s="20" t="s">
        <v>1194</v>
      </c>
      <c r="N229" s="47">
        <v>45485</v>
      </c>
      <c r="O229" s="20">
        <f>INDEX(Auxiliar!$D$5:$F$13,MATCH(Table1[[#This Row],[Tipologia_Testes]],Auxiliar!$B$5:$B$13,0),MATCH(Table1[[#This Row],[Complexidade]],Auxiliar!$D$4:$F$4,0))</f>
        <v>2</v>
      </c>
      <c r="P229" s="2" t="s">
        <v>1211</v>
      </c>
      <c r="Q229" s="2"/>
      <c r="R229" s="151">
        <v>45261</v>
      </c>
      <c r="S229" s="151"/>
      <c r="T229" s="151"/>
      <c r="U229" s="151"/>
      <c r="V229" s="151"/>
      <c r="W229" s="2">
        <f>VLOOKUP(Table1[[#This Row],[Status]],Auxiliar!$B$16:$D$24,3,0)*Table1[[#This Row],[Estimação (horas)]]</f>
        <v>2</v>
      </c>
      <c r="X229" s="2"/>
    </row>
    <row r="230" spans="2:24" ht="17.7"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1190</v>
      </c>
      <c r="L230" s="28" t="s">
        <v>1185</v>
      </c>
      <c r="M230" s="20" t="s">
        <v>1194</v>
      </c>
      <c r="N230" s="47">
        <v>45485</v>
      </c>
      <c r="O230" s="20">
        <f>INDEX(Auxiliar!$D$5:$F$13,MATCH(Table1[[#This Row],[Tipologia_Testes]],Auxiliar!$B$5:$B$13,0),MATCH(Table1[[#This Row],[Complexidade]],Auxiliar!$D$4:$F$4,0))</f>
        <v>0.1</v>
      </c>
      <c r="P230" s="2" t="s">
        <v>1211</v>
      </c>
      <c r="Q230" s="2"/>
      <c r="R230" s="151">
        <v>45261</v>
      </c>
      <c r="S230" s="151"/>
      <c r="T230" s="151"/>
      <c r="U230" s="151"/>
      <c r="V230" s="151"/>
      <c r="W230" s="2">
        <f>VLOOKUP(Table1[[#This Row],[Status]],Auxiliar!$B$16:$D$24,3,0)*Table1[[#This Row],[Estimação (horas)]]</f>
        <v>0.1</v>
      </c>
      <c r="X230" s="2"/>
    </row>
    <row r="231" spans="2:24" ht="17.7"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1187</v>
      </c>
      <c r="L231" s="28" t="s">
        <v>1185</v>
      </c>
      <c r="M231" s="20" t="s">
        <v>1194</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7"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1188</v>
      </c>
      <c r="L232" s="28" t="s">
        <v>1185</v>
      </c>
      <c r="M232" s="20" t="s">
        <v>1194</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7"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1190</v>
      </c>
      <c r="L233" s="28" t="s">
        <v>1185</v>
      </c>
      <c r="M233" s="20" t="s">
        <v>1194</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7"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1187</v>
      </c>
      <c r="L234" s="28" t="s">
        <v>1185</v>
      </c>
      <c r="M234" s="20" t="s">
        <v>1194</v>
      </c>
      <c r="N234" s="47">
        <v>45485</v>
      </c>
      <c r="O234" s="20">
        <f>INDEX(Auxiliar!$D$5:$F$13,MATCH(Table1[[#This Row],[Tipologia_Testes]],Auxiliar!$B$5:$B$13,0),MATCH(Table1[[#This Row],[Complexidade]],Auxiliar!$D$4:$F$4,0))</f>
        <v>2</v>
      </c>
      <c r="P234" s="2" t="s">
        <v>1211</v>
      </c>
      <c r="Q234" s="2"/>
      <c r="R234" s="151">
        <v>45261</v>
      </c>
      <c r="S234" s="151"/>
      <c r="T234" s="151"/>
      <c r="U234" s="151"/>
      <c r="V234" s="151"/>
      <c r="W234" s="2">
        <f>VLOOKUP(Table1[[#This Row],[Status]],Auxiliar!$B$16:$D$24,3,0)*Table1[[#This Row],[Estimação (horas)]]</f>
        <v>2</v>
      </c>
      <c r="X234" s="2"/>
    </row>
    <row r="235" spans="2:24" ht="17.7"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1188</v>
      </c>
      <c r="L235" s="28" t="s">
        <v>1185</v>
      </c>
      <c r="M235" s="20" t="s">
        <v>1194</v>
      </c>
      <c r="N235" s="47">
        <v>45485</v>
      </c>
      <c r="O235" s="20">
        <f>INDEX(Auxiliar!$D$5:$F$13,MATCH(Table1[[#This Row],[Tipologia_Testes]],Auxiliar!$B$5:$B$13,0),MATCH(Table1[[#This Row],[Complexidade]],Auxiliar!$D$4:$F$4,0))</f>
        <v>2</v>
      </c>
      <c r="P235" s="2" t="s">
        <v>1211</v>
      </c>
      <c r="Q235" s="2"/>
      <c r="R235" s="151">
        <v>45261</v>
      </c>
      <c r="S235" s="151"/>
      <c r="T235" s="151"/>
      <c r="U235" s="151"/>
      <c r="V235" s="151"/>
      <c r="W235" s="2">
        <f>VLOOKUP(Table1[[#This Row],[Status]],Auxiliar!$B$16:$D$24,3,0)*Table1[[#This Row],[Estimação (horas)]]</f>
        <v>2</v>
      </c>
      <c r="X235" s="2"/>
    </row>
    <row r="236" spans="2:24" ht="17.7"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1190</v>
      </c>
      <c r="L236" s="28" t="s">
        <v>1185</v>
      </c>
      <c r="M236" s="20" t="s">
        <v>1194</v>
      </c>
      <c r="N236" s="47">
        <v>45485</v>
      </c>
      <c r="O236" s="20">
        <f>INDEX(Auxiliar!$D$5:$F$13,MATCH(Table1[[#This Row],[Tipologia_Testes]],Auxiliar!$B$5:$B$13,0),MATCH(Table1[[#This Row],[Complexidade]],Auxiliar!$D$4:$F$4,0))</f>
        <v>0.1</v>
      </c>
      <c r="P236" s="2" t="s">
        <v>1211</v>
      </c>
      <c r="Q236" s="2"/>
      <c r="R236" s="151">
        <v>45261</v>
      </c>
      <c r="S236" s="151"/>
      <c r="T236" s="151"/>
      <c r="U236" s="151"/>
      <c r="V236" s="151"/>
      <c r="W236" s="2">
        <f>VLOOKUP(Table1[[#This Row],[Status]],Auxiliar!$B$16:$D$24,3,0)*Table1[[#This Row],[Estimação (horas)]]</f>
        <v>0.1</v>
      </c>
      <c r="X236" s="2"/>
    </row>
    <row r="237" spans="2:24" ht="17.7"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1187</v>
      </c>
      <c r="L237" s="28" t="s">
        <v>1185</v>
      </c>
      <c r="M237" s="20" t="s">
        <v>1194</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7"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1188</v>
      </c>
      <c r="L238" s="28" t="s">
        <v>1185</v>
      </c>
      <c r="M238" s="20" t="s">
        <v>1194</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7"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1190</v>
      </c>
      <c r="L239" s="28" t="s">
        <v>1185</v>
      </c>
      <c r="M239" s="20" t="s">
        <v>1194</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7"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1187</v>
      </c>
      <c r="L240" s="28" t="s">
        <v>1185</v>
      </c>
      <c r="M240" s="20" t="s">
        <v>1194</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7"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1188</v>
      </c>
      <c r="L241" s="28" t="s">
        <v>1185</v>
      </c>
      <c r="M241" s="20" t="s">
        <v>1194</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7"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1190</v>
      </c>
      <c r="L242" s="28" t="s">
        <v>1185</v>
      </c>
      <c r="M242" s="20" t="s">
        <v>1194</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7" hidden="1" customHeight="1">
      <c r="B243" s="2" t="s">
        <v>26</v>
      </c>
      <c r="C243" s="2" t="s">
        <v>54</v>
      </c>
      <c r="D243" s="2" t="s">
        <v>124</v>
      </c>
      <c r="E243" s="2" t="s">
        <v>38</v>
      </c>
      <c r="F243" s="2" t="s">
        <v>123</v>
      </c>
      <c r="G243" s="2" t="s">
        <v>135</v>
      </c>
      <c r="H243" s="56" t="str">
        <f>Table1[[#This Row],[Tabela]]&amp;Table1[[#This Row],[Campo]]</f>
        <v>PROPERTY_ENERGY_CERTIFICATEEP_SCORE</v>
      </c>
      <c r="I243" s="2" t="s">
        <v>617</v>
      </c>
      <c r="J243" s="42">
        <f>VLOOKUP(Table1[[#This Row],[Status]],Auxiliar!$B$16:$C$24,2,0)</f>
        <v>7</v>
      </c>
      <c r="K243" s="2" t="s">
        <v>1187</v>
      </c>
      <c r="L243" s="28" t="s">
        <v>1185</v>
      </c>
      <c r="M243" s="20" t="s">
        <v>1194</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7" hidden="1" customHeight="1">
      <c r="B244" s="2" t="s">
        <v>26</v>
      </c>
      <c r="C244" s="2" t="s">
        <v>54</v>
      </c>
      <c r="D244" s="2" t="s">
        <v>124</v>
      </c>
      <c r="E244" s="2" t="s">
        <v>38</v>
      </c>
      <c r="F244" s="2" t="s">
        <v>123</v>
      </c>
      <c r="G244" s="2" t="s">
        <v>135</v>
      </c>
      <c r="H244" s="56" t="str">
        <f>Table1[[#This Row],[Tabela]]&amp;Table1[[#This Row],[Campo]]</f>
        <v>PROPERTY_ENERGY_CERTIFICATEEP_SCORE</v>
      </c>
      <c r="I244" s="2" t="s">
        <v>617</v>
      </c>
      <c r="J244" s="42">
        <f>VLOOKUP(Table1[[#This Row],[Status]],Auxiliar!$B$16:$C$24,2,0)</f>
        <v>7</v>
      </c>
      <c r="K244" s="2" t="s">
        <v>1188</v>
      </c>
      <c r="L244" s="28" t="s">
        <v>1185</v>
      </c>
      <c r="M244" s="20" t="s">
        <v>1194</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7" hidden="1" customHeight="1">
      <c r="B245" s="2" t="s">
        <v>26</v>
      </c>
      <c r="C245" s="2" t="s">
        <v>54</v>
      </c>
      <c r="D245" s="2" t="s">
        <v>124</v>
      </c>
      <c r="E245" s="2" t="s">
        <v>38</v>
      </c>
      <c r="F245" s="2" t="s">
        <v>123</v>
      </c>
      <c r="G245" s="2" t="s">
        <v>135</v>
      </c>
      <c r="H245" s="56" t="str">
        <f>Table1[[#This Row],[Tabela]]&amp;Table1[[#This Row],[Campo]]</f>
        <v>PROPERTY_ENERGY_CERTIFICATEEP_SCORE</v>
      </c>
      <c r="I245" s="2" t="s">
        <v>617</v>
      </c>
      <c r="J245" s="42">
        <f>VLOOKUP(Table1[[#This Row],[Status]],Auxiliar!$B$16:$C$24,2,0)</f>
        <v>7</v>
      </c>
      <c r="K245" s="2" t="s">
        <v>1190</v>
      </c>
      <c r="L245" s="28" t="s">
        <v>1185</v>
      </c>
      <c r="M245" s="20" t="s">
        <v>1194</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7"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1187</v>
      </c>
      <c r="L246" s="28" t="s">
        <v>1185</v>
      </c>
      <c r="M246" s="20" t="s">
        <v>1194</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7"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1188</v>
      </c>
      <c r="L247" s="28" t="s">
        <v>1185</v>
      </c>
      <c r="M247" s="20" t="s">
        <v>1194</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7"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1190</v>
      </c>
      <c r="L248" s="28" t="s">
        <v>1185</v>
      </c>
      <c r="M248" s="20" t="s">
        <v>1194</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7"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1187</v>
      </c>
      <c r="L249" s="28" t="s">
        <v>1185</v>
      </c>
      <c r="M249" s="20" t="s">
        <v>1194</v>
      </c>
      <c r="N249" s="47">
        <v>45485</v>
      </c>
      <c r="O249" s="20">
        <f>INDEX(Auxiliar!$D$5:$F$13,MATCH(Table1[[#This Row],[Tipologia_Testes]],Auxiliar!$B$5:$B$13,0),MATCH(Table1[[#This Row],[Complexidade]],Auxiliar!$D$4:$F$4,0))</f>
        <v>2</v>
      </c>
      <c r="P249" s="2" t="s">
        <v>1211</v>
      </c>
      <c r="Q249" s="2"/>
      <c r="R249" s="151">
        <v>45261</v>
      </c>
      <c r="S249" s="151"/>
      <c r="T249" s="151"/>
      <c r="U249" s="151"/>
      <c r="V249" s="151"/>
      <c r="W249" s="2">
        <f>VLOOKUP(Table1[[#This Row],[Status]],Auxiliar!$B$16:$D$24,3,0)*Table1[[#This Row],[Estimação (horas)]]</f>
        <v>2</v>
      </c>
      <c r="X249" s="2"/>
    </row>
    <row r="250" spans="2:24" ht="17.7"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1188</v>
      </c>
      <c r="L250" s="28" t="s">
        <v>1185</v>
      </c>
      <c r="M250" s="20" t="s">
        <v>1194</v>
      </c>
      <c r="N250" s="47">
        <v>45485</v>
      </c>
      <c r="O250" s="20">
        <f>INDEX(Auxiliar!$D$5:$F$13,MATCH(Table1[[#This Row],[Tipologia_Testes]],Auxiliar!$B$5:$B$13,0),MATCH(Table1[[#This Row],[Complexidade]],Auxiliar!$D$4:$F$4,0))</f>
        <v>2</v>
      </c>
      <c r="P250" s="2" t="s">
        <v>1211</v>
      </c>
      <c r="Q250" s="2"/>
      <c r="R250" s="151">
        <v>45261</v>
      </c>
      <c r="S250" s="151"/>
      <c r="T250" s="151"/>
      <c r="U250" s="151"/>
      <c r="V250" s="151"/>
      <c r="W250" s="2">
        <f>VLOOKUP(Table1[[#This Row],[Status]],Auxiliar!$B$16:$D$24,3,0)*Table1[[#This Row],[Estimação (horas)]]</f>
        <v>2</v>
      </c>
      <c r="X250" s="2"/>
    </row>
    <row r="251" spans="2:24" ht="17.7"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1190</v>
      </c>
      <c r="L251" s="28" t="s">
        <v>1185</v>
      </c>
      <c r="M251" s="20" t="s">
        <v>1194</v>
      </c>
      <c r="N251" s="47">
        <v>45485</v>
      </c>
      <c r="O251" s="20">
        <f>INDEX(Auxiliar!$D$5:$F$13,MATCH(Table1[[#This Row],[Tipologia_Testes]],Auxiliar!$B$5:$B$13,0),MATCH(Table1[[#This Row],[Complexidade]],Auxiliar!$D$4:$F$4,0))</f>
        <v>0.1</v>
      </c>
      <c r="P251" s="2" t="s">
        <v>1211</v>
      </c>
      <c r="Q251" s="2"/>
      <c r="R251" s="151">
        <v>45261</v>
      </c>
      <c r="S251" s="151"/>
      <c r="T251" s="151"/>
      <c r="U251" s="151"/>
      <c r="V251" s="151"/>
      <c r="W251" s="2">
        <f>VLOOKUP(Table1[[#This Row],[Status]],Auxiliar!$B$16:$D$24,3,0)*Table1[[#This Row],[Estimação (horas)]]</f>
        <v>0.1</v>
      </c>
      <c r="X251" s="2"/>
    </row>
    <row r="252" spans="2:24" ht="17.7"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1187</v>
      </c>
      <c r="L252" s="28" t="s">
        <v>1185</v>
      </c>
      <c r="M252" s="20" t="s">
        <v>1194</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1188</v>
      </c>
      <c r="L253" s="28" t="s">
        <v>1185</v>
      </c>
      <c r="M253" s="20" t="s">
        <v>1194</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7"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1190</v>
      </c>
      <c r="L254" s="28" t="s">
        <v>1185</v>
      </c>
      <c r="M254" s="20" t="s">
        <v>1194</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7"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1187</v>
      </c>
      <c r="L255" s="28" t="s">
        <v>1185</v>
      </c>
      <c r="M255" s="20" t="s">
        <v>1194</v>
      </c>
      <c r="N255" s="47">
        <v>45485</v>
      </c>
      <c r="O255" s="20">
        <f>INDEX(Auxiliar!$D$5:$F$13,MATCH(Table1[[#This Row],[Tipologia_Testes]],Auxiliar!$B$5:$B$13,0),MATCH(Table1[[#This Row],[Complexidade]],Auxiliar!$D$4:$F$4,0))</f>
        <v>2</v>
      </c>
      <c r="P255" s="2" t="s">
        <v>1211</v>
      </c>
      <c r="Q255" s="2"/>
      <c r="R255" s="151">
        <v>45261</v>
      </c>
      <c r="S255" s="151"/>
      <c r="T255" s="151"/>
      <c r="U255" s="151"/>
      <c r="V255" s="151"/>
      <c r="W255" s="2">
        <f>VLOOKUP(Table1[[#This Row],[Status]],Auxiliar!$B$16:$D$24,3,0)*Table1[[#This Row],[Estimação (horas)]]</f>
        <v>2</v>
      </c>
      <c r="X255" s="2"/>
    </row>
    <row r="256" spans="2:24" ht="17.7"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1188</v>
      </c>
      <c r="L256" s="28" t="s">
        <v>1185</v>
      </c>
      <c r="M256" s="20" t="s">
        <v>1194</v>
      </c>
      <c r="N256" s="47">
        <v>45485</v>
      </c>
      <c r="O256" s="20">
        <f>INDEX(Auxiliar!$D$5:$F$13,MATCH(Table1[[#This Row],[Tipologia_Testes]],Auxiliar!$B$5:$B$13,0),MATCH(Table1[[#This Row],[Complexidade]],Auxiliar!$D$4:$F$4,0))</f>
        <v>2</v>
      </c>
      <c r="P256" s="2" t="s">
        <v>1211</v>
      </c>
      <c r="Q256" s="2"/>
      <c r="R256" s="151">
        <v>45261</v>
      </c>
      <c r="S256" s="151"/>
      <c r="T256" s="151"/>
      <c r="U256" s="151"/>
      <c r="V256" s="151"/>
      <c r="W256" s="2">
        <f>VLOOKUP(Table1[[#This Row],[Status]],Auxiliar!$B$16:$D$24,3,0)*Table1[[#This Row],[Estimação (horas)]]</f>
        <v>2</v>
      </c>
      <c r="X256" s="2"/>
    </row>
    <row r="257" spans="2:24" ht="17.7"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1190</v>
      </c>
      <c r="L257" s="28" t="s">
        <v>1185</v>
      </c>
      <c r="M257" s="20" t="s">
        <v>1194</v>
      </c>
      <c r="N257" s="47">
        <v>45485</v>
      </c>
      <c r="O257" s="20">
        <f>INDEX(Auxiliar!$D$5:$F$13,MATCH(Table1[[#This Row],[Tipologia_Testes]],Auxiliar!$B$5:$B$13,0),MATCH(Table1[[#This Row],[Complexidade]],Auxiliar!$D$4:$F$4,0))</f>
        <v>0.1</v>
      </c>
      <c r="P257" s="2" t="s">
        <v>1211</v>
      </c>
      <c r="Q257" s="2"/>
      <c r="R257" s="151">
        <v>45261</v>
      </c>
      <c r="S257" s="151"/>
      <c r="T257" s="151"/>
      <c r="U257" s="151"/>
      <c r="V257" s="151"/>
      <c r="W257" s="2">
        <f>VLOOKUP(Table1[[#This Row],[Status]],Auxiliar!$B$16:$D$24,3,0)*Table1[[#This Row],[Estimação (horas)]]</f>
        <v>0.1</v>
      </c>
      <c r="X257" s="2"/>
    </row>
    <row r="258" spans="2:24" ht="17.7"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1187</v>
      </c>
      <c r="L258" s="28" t="s">
        <v>1185</v>
      </c>
      <c r="M258" s="20" t="s">
        <v>1194</v>
      </c>
      <c r="N258" s="47">
        <v>45485</v>
      </c>
      <c r="O258" s="20">
        <f>INDEX(Auxiliar!$D$5:$F$13,MATCH(Table1[[#This Row],[Tipologia_Testes]],Auxiliar!$B$5:$B$13,0),MATCH(Table1[[#This Row],[Complexidade]],Auxiliar!$D$4:$F$4,0))</f>
        <v>2</v>
      </c>
      <c r="P258" s="2" t="s">
        <v>1211</v>
      </c>
      <c r="Q258" s="2"/>
      <c r="R258" s="151">
        <v>45261</v>
      </c>
      <c r="S258" s="151"/>
      <c r="T258" s="151"/>
      <c r="U258" s="151"/>
      <c r="V258" s="151"/>
      <c r="W258" s="2">
        <f>VLOOKUP(Table1[[#This Row],[Status]],Auxiliar!$B$16:$D$24,3,0)*Table1[[#This Row],[Estimação (horas)]]</f>
        <v>2</v>
      </c>
      <c r="X258" s="2"/>
    </row>
    <row r="259" spans="2:24" ht="17.7"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1188</v>
      </c>
      <c r="L259" s="28" t="s">
        <v>1185</v>
      </c>
      <c r="M259" s="20" t="s">
        <v>1194</v>
      </c>
      <c r="N259" s="47">
        <v>45485</v>
      </c>
      <c r="O259" s="20">
        <f>INDEX(Auxiliar!$D$5:$F$13,MATCH(Table1[[#This Row],[Tipologia_Testes]],Auxiliar!$B$5:$B$13,0),MATCH(Table1[[#This Row],[Complexidade]],Auxiliar!$D$4:$F$4,0))</f>
        <v>2</v>
      </c>
      <c r="P259" s="2" t="s">
        <v>1211</v>
      </c>
      <c r="Q259" s="2"/>
      <c r="R259" s="151">
        <v>45261</v>
      </c>
      <c r="S259" s="151"/>
      <c r="T259" s="151"/>
      <c r="U259" s="151"/>
      <c r="V259" s="151"/>
      <c r="W259" s="2">
        <f>VLOOKUP(Table1[[#This Row],[Status]],Auxiliar!$B$16:$D$24,3,0)*Table1[[#This Row],[Estimação (horas)]]</f>
        <v>2</v>
      </c>
      <c r="X259" s="2"/>
    </row>
    <row r="260" spans="2:24" ht="17.7"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1190</v>
      </c>
      <c r="L260" s="28" t="s">
        <v>1185</v>
      </c>
      <c r="M260" s="20" t="s">
        <v>1194</v>
      </c>
      <c r="N260" s="47">
        <v>45485</v>
      </c>
      <c r="O260" s="20">
        <f>INDEX(Auxiliar!$D$5:$F$13,MATCH(Table1[[#This Row],[Tipologia_Testes]],Auxiliar!$B$5:$B$13,0),MATCH(Table1[[#This Row],[Complexidade]],Auxiliar!$D$4:$F$4,0))</f>
        <v>0.1</v>
      </c>
      <c r="P260" s="2" t="s">
        <v>1211</v>
      </c>
      <c r="Q260" s="2"/>
      <c r="R260" s="151">
        <v>45261</v>
      </c>
      <c r="S260" s="151"/>
      <c r="T260" s="151"/>
      <c r="U260" s="151"/>
      <c r="V260" s="151"/>
      <c r="W260" s="2">
        <f>VLOOKUP(Table1[[#This Row],[Status]],Auxiliar!$B$16:$D$24,3,0)*Table1[[#This Row],[Estimação (horas)]]</f>
        <v>0.1</v>
      </c>
      <c r="X260" s="2"/>
    </row>
    <row r="261" spans="2:24" ht="17.7"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1187</v>
      </c>
      <c r="L261" s="28" t="s">
        <v>1185</v>
      </c>
      <c r="M261" s="20" t="s">
        <v>1194</v>
      </c>
      <c r="N261" s="47">
        <v>45485</v>
      </c>
      <c r="O261" s="20">
        <f>INDEX(Auxiliar!$D$5:$F$13,MATCH(Table1[[#This Row],[Tipologia_Testes]],Auxiliar!$B$5:$B$13,0),MATCH(Table1[[#This Row],[Complexidade]],Auxiliar!$D$4:$F$4,0))</f>
        <v>2</v>
      </c>
      <c r="P261" s="2" t="s">
        <v>1211</v>
      </c>
      <c r="Q261" s="2"/>
      <c r="R261" s="151">
        <v>45261</v>
      </c>
      <c r="S261" s="151"/>
      <c r="T261" s="151"/>
      <c r="U261" s="151"/>
      <c r="V261" s="151"/>
      <c r="W261" s="2">
        <f>VLOOKUP(Table1[[#This Row],[Status]],Auxiliar!$B$16:$D$24,3,0)*Table1[[#This Row],[Estimação (horas)]]</f>
        <v>2</v>
      </c>
      <c r="X261" s="2"/>
    </row>
    <row r="262" spans="2:24" ht="17.7"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1188</v>
      </c>
      <c r="L262" s="28" t="s">
        <v>1185</v>
      </c>
      <c r="M262" s="20" t="s">
        <v>1194</v>
      </c>
      <c r="N262" s="47">
        <v>45485</v>
      </c>
      <c r="O262" s="20">
        <f>INDEX(Auxiliar!$D$5:$F$13,MATCH(Table1[[#This Row],[Tipologia_Testes]],Auxiliar!$B$5:$B$13,0),MATCH(Table1[[#This Row],[Complexidade]],Auxiliar!$D$4:$F$4,0))</f>
        <v>2</v>
      </c>
      <c r="P262" s="2" t="s">
        <v>1211</v>
      </c>
      <c r="Q262" s="2"/>
      <c r="R262" s="151">
        <v>45261</v>
      </c>
      <c r="S262" s="151"/>
      <c r="T262" s="151"/>
      <c r="U262" s="151"/>
      <c r="V262" s="151"/>
      <c r="W262" s="2">
        <f>VLOOKUP(Table1[[#This Row],[Status]],Auxiliar!$B$16:$D$24,3,0)*Table1[[#This Row],[Estimação (horas)]]</f>
        <v>2</v>
      </c>
      <c r="X262" s="2"/>
    </row>
    <row r="263" spans="2:24" ht="17.7"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1190</v>
      </c>
      <c r="L263" s="28" t="s">
        <v>1185</v>
      </c>
      <c r="M263" s="20" t="s">
        <v>1194</v>
      </c>
      <c r="N263" s="47">
        <v>45485</v>
      </c>
      <c r="O263" s="20">
        <f>INDEX(Auxiliar!$D$5:$F$13,MATCH(Table1[[#This Row],[Tipologia_Testes]],Auxiliar!$B$5:$B$13,0),MATCH(Table1[[#This Row],[Complexidade]],Auxiliar!$D$4:$F$4,0))</f>
        <v>0.1</v>
      </c>
      <c r="P263" s="2" t="s">
        <v>1211</v>
      </c>
      <c r="Q263" s="2"/>
      <c r="R263" s="151">
        <v>45261</v>
      </c>
      <c r="S263" s="151"/>
      <c r="T263" s="151"/>
      <c r="U263" s="151"/>
      <c r="V263" s="151"/>
      <c r="W263" s="2">
        <f>VLOOKUP(Table1[[#This Row],[Status]],Auxiliar!$B$16:$D$24,3,0)*Table1[[#This Row],[Estimação (horas)]]</f>
        <v>0.1</v>
      </c>
      <c r="X263" s="2"/>
    </row>
    <row r="264" spans="2:24" ht="17.7"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1187</v>
      </c>
      <c r="L264" s="28" t="s">
        <v>1185</v>
      </c>
      <c r="M264" s="20" t="s">
        <v>1194</v>
      </c>
      <c r="N264" s="47">
        <v>45485</v>
      </c>
      <c r="O264" s="20">
        <f>INDEX(Auxiliar!$D$5:$F$13,MATCH(Table1[[#This Row],[Tipologia_Testes]],Auxiliar!$B$5:$B$13,0),MATCH(Table1[[#This Row],[Complexidade]],Auxiliar!$D$4:$F$4,0))</f>
        <v>2</v>
      </c>
      <c r="P264" s="2" t="s">
        <v>1211</v>
      </c>
      <c r="Q264" s="2"/>
      <c r="R264" s="151">
        <v>45261</v>
      </c>
      <c r="S264" s="151"/>
      <c r="T264" s="151"/>
      <c r="U264" s="151"/>
      <c r="V264" s="151"/>
      <c r="W264" s="2">
        <f>VLOOKUP(Table1[[#This Row],[Status]],Auxiliar!$B$16:$D$24,3,0)*Table1[[#This Row],[Estimação (horas)]]</f>
        <v>2</v>
      </c>
      <c r="X264" s="2"/>
    </row>
    <row r="265" spans="2:24" ht="17.7"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1188</v>
      </c>
      <c r="L265" s="28" t="s">
        <v>1185</v>
      </c>
      <c r="M265" s="20" t="s">
        <v>1194</v>
      </c>
      <c r="N265" s="47">
        <v>45485</v>
      </c>
      <c r="O265" s="20">
        <f>INDEX(Auxiliar!$D$5:$F$13,MATCH(Table1[[#This Row],[Tipologia_Testes]],Auxiliar!$B$5:$B$13,0),MATCH(Table1[[#This Row],[Complexidade]],Auxiliar!$D$4:$F$4,0))</f>
        <v>2</v>
      </c>
      <c r="P265" s="2" t="s">
        <v>1211</v>
      </c>
      <c r="Q265" s="2"/>
      <c r="R265" s="151">
        <v>45261</v>
      </c>
      <c r="S265" s="151"/>
      <c r="T265" s="151"/>
      <c r="U265" s="151"/>
      <c r="V265" s="151"/>
      <c r="W265" s="2">
        <f>VLOOKUP(Table1[[#This Row],[Status]],Auxiliar!$B$16:$D$24,3,0)*Table1[[#This Row],[Estimação (horas)]]</f>
        <v>2</v>
      </c>
      <c r="X265" s="2"/>
    </row>
    <row r="266" spans="2:24" ht="17.7"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1190</v>
      </c>
      <c r="L266" s="28" t="s">
        <v>1185</v>
      </c>
      <c r="M266" s="20" t="s">
        <v>1194</v>
      </c>
      <c r="N266" s="47">
        <v>45485</v>
      </c>
      <c r="O266" s="20">
        <f>INDEX(Auxiliar!$D$5:$F$13,MATCH(Table1[[#This Row],[Tipologia_Testes]],Auxiliar!$B$5:$B$13,0),MATCH(Table1[[#This Row],[Complexidade]],Auxiliar!$D$4:$F$4,0))</f>
        <v>0.1</v>
      </c>
      <c r="P266" s="2" t="s">
        <v>1211</v>
      </c>
      <c r="Q266" s="2"/>
      <c r="R266" s="151">
        <v>45261</v>
      </c>
      <c r="S266" s="151"/>
      <c r="T266" s="151"/>
      <c r="U266" s="151"/>
      <c r="V266" s="151"/>
      <c r="W266" s="2">
        <f>VLOOKUP(Table1[[#This Row],[Status]],Auxiliar!$B$16:$D$24,3,0)*Table1[[#This Row],[Estimação (horas)]]</f>
        <v>0.1</v>
      </c>
      <c r="X266" s="2"/>
    </row>
    <row r="267" spans="2:24" ht="17.7"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1187</v>
      </c>
      <c r="L267" s="28" t="s">
        <v>1185</v>
      </c>
      <c r="M267" s="20" t="s">
        <v>1194</v>
      </c>
      <c r="N267" s="47">
        <v>45485</v>
      </c>
      <c r="O267" s="20">
        <f>INDEX(Auxiliar!$D$5:$F$13,MATCH(Table1[[#This Row],[Tipologia_Testes]],Auxiliar!$B$5:$B$13,0),MATCH(Table1[[#This Row],[Complexidade]],Auxiliar!$D$4:$F$4,0))</f>
        <v>2</v>
      </c>
      <c r="P267" s="2" t="s">
        <v>1211</v>
      </c>
      <c r="Q267" s="2"/>
      <c r="R267" s="151">
        <v>45261</v>
      </c>
      <c r="S267" s="151"/>
      <c r="T267" s="151"/>
      <c r="U267" s="151"/>
      <c r="V267" s="151"/>
      <c r="W267" s="2">
        <f>VLOOKUP(Table1[[#This Row],[Status]],Auxiliar!$B$16:$D$24,3,0)*Table1[[#This Row],[Estimação (horas)]]</f>
        <v>2</v>
      </c>
      <c r="X267" s="2"/>
    </row>
    <row r="268" spans="2:24" ht="17.7"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1188</v>
      </c>
      <c r="L268" s="28" t="s">
        <v>1185</v>
      </c>
      <c r="M268" s="20" t="s">
        <v>1194</v>
      </c>
      <c r="N268" s="47">
        <v>45485</v>
      </c>
      <c r="O268" s="20">
        <f>INDEX(Auxiliar!$D$5:$F$13,MATCH(Table1[[#This Row],[Tipologia_Testes]],Auxiliar!$B$5:$B$13,0),MATCH(Table1[[#This Row],[Complexidade]],Auxiliar!$D$4:$F$4,0))</f>
        <v>2</v>
      </c>
      <c r="P268" s="2" t="s">
        <v>1211</v>
      </c>
      <c r="Q268" s="2"/>
      <c r="R268" s="151">
        <v>45261</v>
      </c>
      <c r="S268" s="151"/>
      <c r="T268" s="151"/>
      <c r="U268" s="151"/>
      <c r="V268" s="151"/>
      <c r="W268" s="2">
        <f>VLOOKUP(Table1[[#This Row],[Status]],Auxiliar!$B$16:$D$24,3,0)*Table1[[#This Row],[Estimação (horas)]]</f>
        <v>2</v>
      </c>
      <c r="X268" s="2"/>
    </row>
    <row r="269" spans="2:24" ht="17.7"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1190</v>
      </c>
      <c r="L269" s="28" t="s">
        <v>1185</v>
      </c>
      <c r="M269" s="20" t="s">
        <v>1194</v>
      </c>
      <c r="N269" s="47">
        <v>45485</v>
      </c>
      <c r="O269" s="20">
        <f>INDEX(Auxiliar!$D$5:$F$13,MATCH(Table1[[#This Row],[Tipologia_Testes]],Auxiliar!$B$5:$B$13,0),MATCH(Table1[[#This Row],[Complexidade]],Auxiliar!$D$4:$F$4,0))</f>
        <v>0.1</v>
      </c>
      <c r="P269" s="2" t="s">
        <v>1211</v>
      </c>
      <c r="Q269" s="2"/>
      <c r="R269" s="151">
        <v>45261</v>
      </c>
      <c r="S269" s="151"/>
      <c r="T269" s="151"/>
      <c r="U269" s="151"/>
      <c r="V269" s="151"/>
      <c r="W269" s="2">
        <f>VLOOKUP(Table1[[#This Row],[Status]],Auxiliar!$B$16:$D$24,3,0)*Table1[[#This Row],[Estimação (horas)]]</f>
        <v>0.1</v>
      </c>
      <c r="X269" s="2"/>
    </row>
    <row r="270" spans="2:24" ht="17.7"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1187</v>
      </c>
      <c r="L270" s="28" t="s">
        <v>1185</v>
      </c>
      <c r="M270" s="20" t="s">
        <v>1194</v>
      </c>
      <c r="N270" s="47">
        <v>45485</v>
      </c>
      <c r="O270" s="20">
        <f>INDEX(Auxiliar!$D$5:$F$13,MATCH(Table1[[#This Row],[Tipologia_Testes]],Auxiliar!$B$5:$B$13,0),MATCH(Table1[[#This Row],[Complexidade]],Auxiliar!$D$4:$F$4,0))</f>
        <v>2</v>
      </c>
      <c r="P270" s="2" t="s">
        <v>1211</v>
      </c>
      <c r="Q270" s="2"/>
      <c r="R270" s="151">
        <v>45261</v>
      </c>
      <c r="S270" s="151"/>
      <c r="T270" s="151"/>
      <c r="U270" s="151"/>
      <c r="V270" s="151"/>
      <c r="W270" s="2">
        <f>VLOOKUP(Table1[[#This Row],[Status]],Auxiliar!$B$16:$D$24,3,0)*Table1[[#This Row],[Estimação (horas)]]</f>
        <v>2</v>
      </c>
      <c r="X270" s="2"/>
    </row>
    <row r="271" spans="2:24" ht="17.7"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1188</v>
      </c>
      <c r="L271" s="28" t="s">
        <v>1185</v>
      </c>
      <c r="M271" s="20" t="s">
        <v>1194</v>
      </c>
      <c r="N271" s="47">
        <v>45485</v>
      </c>
      <c r="O271" s="20">
        <f>INDEX(Auxiliar!$D$5:$F$13,MATCH(Table1[[#This Row],[Tipologia_Testes]],Auxiliar!$B$5:$B$13,0),MATCH(Table1[[#This Row],[Complexidade]],Auxiliar!$D$4:$F$4,0))</f>
        <v>2</v>
      </c>
      <c r="P271" s="2" t="s">
        <v>1211</v>
      </c>
      <c r="Q271" s="2"/>
      <c r="R271" s="151">
        <v>45261</v>
      </c>
      <c r="S271" s="151"/>
      <c r="T271" s="151"/>
      <c r="U271" s="151"/>
      <c r="V271" s="151"/>
      <c r="W271" s="2">
        <f>VLOOKUP(Table1[[#This Row],[Status]],Auxiliar!$B$16:$D$24,3,0)*Table1[[#This Row],[Estimação (horas)]]</f>
        <v>2</v>
      </c>
      <c r="X271" s="2"/>
    </row>
    <row r="272" spans="2:24" ht="17.7"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1190</v>
      </c>
      <c r="L272" s="28" t="s">
        <v>1185</v>
      </c>
      <c r="M272" s="20" t="s">
        <v>1194</v>
      </c>
      <c r="N272" s="47">
        <v>45485</v>
      </c>
      <c r="O272" s="20">
        <f>INDEX(Auxiliar!$D$5:$F$13,MATCH(Table1[[#This Row],[Tipologia_Testes]],Auxiliar!$B$5:$B$13,0),MATCH(Table1[[#This Row],[Complexidade]],Auxiliar!$D$4:$F$4,0))</f>
        <v>0.1</v>
      </c>
      <c r="P272" s="2" t="s">
        <v>1211</v>
      </c>
      <c r="Q272" s="2"/>
      <c r="R272" s="151">
        <v>45261</v>
      </c>
      <c r="S272" s="151"/>
      <c r="T272" s="151"/>
      <c r="U272" s="151"/>
      <c r="V272" s="151"/>
      <c r="W272" s="2">
        <f>VLOOKUP(Table1[[#This Row],[Status]],Auxiliar!$B$16:$D$24,3,0)*Table1[[#This Row],[Estimação (horas)]]</f>
        <v>0.1</v>
      </c>
      <c r="X272" s="2"/>
    </row>
    <row r="273" spans="2:24" ht="17.7"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1187</v>
      </c>
      <c r="L273" s="28" t="s">
        <v>1185</v>
      </c>
      <c r="M273" s="20" t="s">
        <v>1194</v>
      </c>
      <c r="N273" s="47">
        <v>45485</v>
      </c>
      <c r="O273" s="20">
        <f>INDEX(Auxiliar!$D$5:$F$13,MATCH(Table1[[#This Row],[Tipologia_Testes]],Auxiliar!$B$5:$B$13,0),MATCH(Table1[[#This Row],[Complexidade]],Auxiliar!$D$4:$F$4,0))</f>
        <v>2</v>
      </c>
      <c r="P273" s="2" t="s">
        <v>1211</v>
      </c>
      <c r="Q273" s="2"/>
      <c r="R273" s="151">
        <v>45261</v>
      </c>
      <c r="S273" s="151"/>
      <c r="T273" s="151"/>
      <c r="U273" s="151"/>
      <c r="V273" s="151"/>
      <c r="W273" s="2">
        <f>VLOOKUP(Table1[[#This Row],[Status]],Auxiliar!$B$16:$D$24,3,0)*Table1[[#This Row],[Estimação (horas)]]</f>
        <v>2</v>
      </c>
      <c r="X273" s="2"/>
    </row>
    <row r="274" spans="2:24" ht="17.7"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1188</v>
      </c>
      <c r="L274" s="28" t="s">
        <v>1185</v>
      </c>
      <c r="M274" s="20" t="s">
        <v>1194</v>
      </c>
      <c r="N274" s="47">
        <v>45485</v>
      </c>
      <c r="O274" s="20">
        <f>INDEX(Auxiliar!$D$5:$F$13,MATCH(Table1[[#This Row],[Tipologia_Testes]],Auxiliar!$B$5:$B$13,0),MATCH(Table1[[#This Row],[Complexidade]],Auxiliar!$D$4:$F$4,0))</f>
        <v>2</v>
      </c>
      <c r="P274" s="2" t="s">
        <v>1211</v>
      </c>
      <c r="Q274" s="2"/>
      <c r="R274" s="151">
        <v>45261</v>
      </c>
      <c r="S274" s="151"/>
      <c r="T274" s="151"/>
      <c r="U274" s="151"/>
      <c r="V274" s="151"/>
      <c r="W274" s="2">
        <f>VLOOKUP(Table1[[#This Row],[Status]],Auxiliar!$B$16:$D$24,3,0)*Table1[[#This Row],[Estimação (horas)]]</f>
        <v>2</v>
      </c>
      <c r="X274" s="2"/>
    </row>
    <row r="275" spans="2:24" ht="17.7"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1190</v>
      </c>
      <c r="L275" s="28" t="s">
        <v>1185</v>
      </c>
      <c r="M275" s="20" t="s">
        <v>1194</v>
      </c>
      <c r="N275" s="47">
        <v>45485</v>
      </c>
      <c r="O275" s="20">
        <f>INDEX(Auxiliar!$D$5:$F$13,MATCH(Table1[[#This Row],[Tipologia_Testes]],Auxiliar!$B$5:$B$13,0),MATCH(Table1[[#This Row],[Complexidade]],Auxiliar!$D$4:$F$4,0))</f>
        <v>0.1</v>
      </c>
      <c r="P275" s="2" t="s">
        <v>1211</v>
      </c>
      <c r="Q275" s="2"/>
      <c r="R275" s="151">
        <v>45261</v>
      </c>
      <c r="S275" s="151"/>
      <c r="T275" s="151"/>
      <c r="U275" s="151"/>
      <c r="V275" s="151"/>
      <c r="W275" s="2">
        <f>VLOOKUP(Table1[[#This Row],[Status]],Auxiliar!$B$16:$D$24,3,0)*Table1[[#This Row],[Estimação (horas)]]</f>
        <v>0.1</v>
      </c>
      <c r="X275" s="2"/>
    </row>
    <row r="276" spans="2:24" ht="17.7"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1187</v>
      </c>
      <c r="L276" s="28" t="s">
        <v>1185</v>
      </c>
      <c r="M276" s="20" t="s">
        <v>1194</v>
      </c>
      <c r="N276" s="47">
        <v>45485</v>
      </c>
      <c r="O276" s="20">
        <f>INDEX(Auxiliar!$D$5:$F$13,MATCH(Table1[[#This Row],[Tipologia_Testes]],Auxiliar!$B$5:$B$13,0),MATCH(Table1[[#This Row],[Complexidade]],Auxiliar!$D$4:$F$4,0))</f>
        <v>2</v>
      </c>
      <c r="P276" s="2" t="s">
        <v>1211</v>
      </c>
      <c r="Q276" s="2"/>
      <c r="R276" s="151">
        <v>45261</v>
      </c>
      <c r="S276" s="151"/>
      <c r="T276" s="151"/>
      <c r="U276" s="151"/>
      <c r="V276" s="151"/>
      <c r="W276" s="2">
        <f>VLOOKUP(Table1[[#This Row],[Status]],Auxiliar!$B$16:$D$24,3,0)*Table1[[#This Row],[Estimação (horas)]]</f>
        <v>2</v>
      </c>
      <c r="X276" s="2"/>
    </row>
    <row r="277" spans="2:24" ht="17.7"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1188</v>
      </c>
      <c r="L277" s="28" t="s">
        <v>1185</v>
      </c>
      <c r="M277" s="20" t="s">
        <v>1194</v>
      </c>
      <c r="N277" s="47">
        <v>45485</v>
      </c>
      <c r="O277" s="20">
        <f>INDEX(Auxiliar!$D$5:$F$13,MATCH(Table1[[#This Row],[Tipologia_Testes]],Auxiliar!$B$5:$B$13,0),MATCH(Table1[[#This Row],[Complexidade]],Auxiliar!$D$4:$F$4,0))</f>
        <v>2</v>
      </c>
      <c r="P277" s="2" t="s">
        <v>1211</v>
      </c>
      <c r="Q277" s="2"/>
      <c r="R277" s="151">
        <v>45261</v>
      </c>
      <c r="S277" s="151"/>
      <c r="T277" s="151"/>
      <c r="U277" s="151"/>
      <c r="V277" s="151"/>
      <c r="W277" s="2">
        <f>VLOOKUP(Table1[[#This Row],[Status]],Auxiliar!$B$16:$D$24,3,0)*Table1[[#This Row],[Estimação (horas)]]</f>
        <v>2</v>
      </c>
      <c r="X277" s="2"/>
    </row>
    <row r="278" spans="2:24" ht="17.7"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1190</v>
      </c>
      <c r="L278" s="28" t="s">
        <v>1185</v>
      </c>
      <c r="M278" s="20" t="s">
        <v>1194</v>
      </c>
      <c r="N278" s="47">
        <v>45485</v>
      </c>
      <c r="O278" s="20">
        <f>INDEX(Auxiliar!$D$5:$F$13,MATCH(Table1[[#This Row],[Tipologia_Testes]],Auxiliar!$B$5:$B$13,0),MATCH(Table1[[#This Row],[Complexidade]],Auxiliar!$D$4:$F$4,0))</f>
        <v>0.1</v>
      </c>
      <c r="P278" s="2" t="s">
        <v>1211</v>
      </c>
      <c r="Q278" s="2"/>
      <c r="R278" s="151">
        <v>45261</v>
      </c>
      <c r="S278" s="151"/>
      <c r="T278" s="151"/>
      <c r="U278" s="151"/>
      <c r="V278" s="151"/>
      <c r="W278" s="2">
        <f>VLOOKUP(Table1[[#This Row],[Status]],Auxiliar!$B$16:$D$24,3,0)*Table1[[#This Row],[Estimação (horas)]]</f>
        <v>0.1</v>
      </c>
      <c r="X278" s="2"/>
    </row>
    <row r="279" spans="2:24" ht="17.7"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1187</v>
      </c>
      <c r="L279" s="28" t="s">
        <v>1185</v>
      </c>
      <c r="M279" s="20" t="s">
        <v>1194</v>
      </c>
      <c r="N279" s="47">
        <v>45485</v>
      </c>
      <c r="O279" s="20">
        <f>INDEX(Auxiliar!$D$5:$F$13,MATCH(Table1[[#This Row],[Tipologia_Testes]],Auxiliar!$B$5:$B$13,0),MATCH(Table1[[#This Row],[Complexidade]],Auxiliar!$D$4:$F$4,0))</f>
        <v>2</v>
      </c>
      <c r="P279" s="2" t="s">
        <v>1211</v>
      </c>
      <c r="Q279" s="2"/>
      <c r="R279" s="151">
        <v>45261</v>
      </c>
      <c r="S279" s="151"/>
      <c r="T279" s="151"/>
      <c r="U279" s="151"/>
      <c r="V279" s="151"/>
      <c r="W279" s="2">
        <f>VLOOKUP(Table1[[#This Row],[Status]],Auxiliar!$B$16:$D$24,3,0)*Table1[[#This Row],[Estimação (horas)]]</f>
        <v>2</v>
      </c>
      <c r="X279" s="2"/>
    </row>
    <row r="280" spans="2:24" ht="17.7"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1188</v>
      </c>
      <c r="L280" s="28" t="s">
        <v>1185</v>
      </c>
      <c r="M280" s="20" t="s">
        <v>1194</v>
      </c>
      <c r="N280" s="47">
        <v>45485</v>
      </c>
      <c r="O280" s="20">
        <f>INDEX(Auxiliar!$D$5:$F$13,MATCH(Table1[[#This Row],[Tipologia_Testes]],Auxiliar!$B$5:$B$13,0),MATCH(Table1[[#This Row],[Complexidade]],Auxiliar!$D$4:$F$4,0))</f>
        <v>2</v>
      </c>
      <c r="P280" s="2" t="s">
        <v>1211</v>
      </c>
      <c r="Q280" s="2"/>
      <c r="R280" s="151">
        <v>45261</v>
      </c>
      <c r="S280" s="151"/>
      <c r="T280" s="151"/>
      <c r="U280" s="151"/>
      <c r="V280" s="151"/>
      <c r="W280" s="2">
        <f>VLOOKUP(Table1[[#This Row],[Status]],Auxiliar!$B$16:$D$24,3,0)*Table1[[#This Row],[Estimação (horas)]]</f>
        <v>2</v>
      </c>
      <c r="X280" s="2"/>
    </row>
    <row r="281" spans="2:24" ht="17.7"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1190</v>
      </c>
      <c r="L281" s="28" t="s">
        <v>1185</v>
      </c>
      <c r="M281" s="20" t="s">
        <v>1194</v>
      </c>
      <c r="N281" s="47">
        <v>45485</v>
      </c>
      <c r="O281" s="20">
        <f>INDEX(Auxiliar!$D$5:$F$13,MATCH(Table1[[#This Row],[Tipologia_Testes]],Auxiliar!$B$5:$B$13,0),MATCH(Table1[[#This Row],[Complexidade]],Auxiliar!$D$4:$F$4,0))</f>
        <v>0.1</v>
      </c>
      <c r="P281" s="2" t="s">
        <v>1211</v>
      </c>
      <c r="Q281" s="2"/>
      <c r="R281" s="151">
        <v>45261</v>
      </c>
      <c r="S281" s="151"/>
      <c r="T281" s="151"/>
      <c r="U281" s="151"/>
      <c r="V281" s="151"/>
      <c r="W281" s="2">
        <f>VLOOKUP(Table1[[#This Row],[Status]],Auxiliar!$B$16:$D$24,3,0)*Table1[[#This Row],[Estimação (horas)]]</f>
        <v>0.1</v>
      </c>
      <c r="X281" s="2"/>
    </row>
    <row r="282" spans="2:24" ht="17.7"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1187</v>
      </c>
      <c r="L282" s="28" t="s">
        <v>1185</v>
      </c>
      <c r="M282" s="20" t="s">
        <v>1194</v>
      </c>
      <c r="N282" s="47">
        <v>45485</v>
      </c>
      <c r="O282" s="20">
        <f>INDEX(Auxiliar!$D$5:$F$13,MATCH(Table1[[#This Row],[Tipologia_Testes]],Auxiliar!$B$5:$B$13,0),MATCH(Table1[[#This Row],[Complexidade]],Auxiliar!$D$4:$F$4,0))</f>
        <v>2</v>
      </c>
      <c r="P282" s="2" t="s">
        <v>1211</v>
      </c>
      <c r="Q282" s="2"/>
      <c r="R282" s="151">
        <v>45261</v>
      </c>
      <c r="S282" s="151"/>
      <c r="T282" s="151"/>
      <c r="U282" s="151"/>
      <c r="V282" s="151"/>
      <c r="W282" s="2">
        <f>VLOOKUP(Table1[[#This Row],[Status]],Auxiliar!$B$16:$D$24,3,0)*Table1[[#This Row],[Estimação (horas)]]</f>
        <v>2</v>
      </c>
      <c r="X282" s="2"/>
    </row>
    <row r="283" spans="2:24" ht="17.7"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1188</v>
      </c>
      <c r="L283" s="28" t="s">
        <v>1185</v>
      </c>
      <c r="M283" s="20" t="s">
        <v>1194</v>
      </c>
      <c r="N283" s="47">
        <v>45485</v>
      </c>
      <c r="O283" s="20">
        <f>INDEX(Auxiliar!$D$5:$F$13,MATCH(Table1[[#This Row],[Tipologia_Testes]],Auxiliar!$B$5:$B$13,0),MATCH(Table1[[#This Row],[Complexidade]],Auxiliar!$D$4:$F$4,0))</f>
        <v>2</v>
      </c>
      <c r="P283" s="2" t="s">
        <v>1211</v>
      </c>
      <c r="Q283" s="2"/>
      <c r="R283" s="151">
        <v>45261</v>
      </c>
      <c r="S283" s="151"/>
      <c r="T283" s="151"/>
      <c r="U283" s="151"/>
      <c r="V283" s="151"/>
      <c r="W283" s="2">
        <f>VLOOKUP(Table1[[#This Row],[Status]],Auxiliar!$B$16:$D$24,3,0)*Table1[[#This Row],[Estimação (horas)]]</f>
        <v>2</v>
      </c>
      <c r="X283" s="2"/>
    </row>
    <row r="284" spans="2:24" ht="17.7"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1190</v>
      </c>
      <c r="L284" s="28" t="s">
        <v>1185</v>
      </c>
      <c r="M284" s="20" t="s">
        <v>1194</v>
      </c>
      <c r="N284" s="47">
        <v>45485</v>
      </c>
      <c r="O284" s="20">
        <f>INDEX(Auxiliar!$D$5:$F$13,MATCH(Table1[[#This Row],[Tipologia_Testes]],Auxiliar!$B$5:$B$13,0),MATCH(Table1[[#This Row],[Complexidade]],Auxiliar!$D$4:$F$4,0))</f>
        <v>0.1</v>
      </c>
      <c r="P284" s="2" t="s">
        <v>1211</v>
      </c>
      <c r="Q284" s="2"/>
      <c r="R284" s="151">
        <v>45261</v>
      </c>
      <c r="S284" s="151"/>
      <c r="T284" s="151"/>
      <c r="U284" s="151"/>
      <c r="V284" s="151"/>
      <c r="W284" s="2">
        <f>VLOOKUP(Table1[[#This Row],[Status]],Auxiliar!$B$16:$D$24,3,0)*Table1[[#This Row],[Estimação (horas)]]</f>
        <v>0.1</v>
      </c>
      <c r="X284" s="2"/>
    </row>
    <row r="285" spans="2:24" ht="17.7"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1187</v>
      </c>
      <c r="L285" s="28" t="s">
        <v>1185</v>
      </c>
      <c r="M285" s="20" t="s">
        <v>1194</v>
      </c>
      <c r="N285" s="47">
        <v>45485</v>
      </c>
      <c r="O285" s="20">
        <f>INDEX(Auxiliar!$D$5:$F$13,MATCH(Table1[[#This Row],[Tipologia_Testes]],Auxiliar!$B$5:$B$13,0),MATCH(Table1[[#This Row],[Complexidade]],Auxiliar!$D$4:$F$4,0))</f>
        <v>2</v>
      </c>
      <c r="P285" s="2" t="s">
        <v>1211</v>
      </c>
      <c r="Q285" s="2"/>
      <c r="R285" s="151">
        <v>45261</v>
      </c>
      <c r="S285" s="151"/>
      <c r="T285" s="151"/>
      <c r="U285" s="151"/>
      <c r="V285" s="151"/>
      <c r="W285" s="2">
        <f>VLOOKUP(Table1[[#This Row],[Status]],Auxiliar!$B$16:$D$24,3,0)*Table1[[#This Row],[Estimação (horas)]]</f>
        <v>2</v>
      </c>
      <c r="X285" s="2"/>
    </row>
    <row r="286" spans="2:24" ht="17.7"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1188</v>
      </c>
      <c r="L286" s="28" t="s">
        <v>1185</v>
      </c>
      <c r="M286" s="20" t="s">
        <v>1194</v>
      </c>
      <c r="N286" s="47">
        <v>45485</v>
      </c>
      <c r="O286" s="20">
        <f>INDEX(Auxiliar!$D$5:$F$13,MATCH(Table1[[#This Row],[Tipologia_Testes]],Auxiliar!$B$5:$B$13,0),MATCH(Table1[[#This Row],[Complexidade]],Auxiliar!$D$4:$F$4,0))</f>
        <v>2</v>
      </c>
      <c r="P286" s="2" t="s">
        <v>1211</v>
      </c>
      <c r="Q286" s="2"/>
      <c r="R286" s="151">
        <v>45261</v>
      </c>
      <c r="S286" s="151"/>
      <c r="T286" s="151"/>
      <c r="U286" s="151"/>
      <c r="V286" s="151"/>
      <c r="W286" s="2">
        <f>VLOOKUP(Table1[[#This Row],[Status]],Auxiliar!$B$16:$D$24,3,0)*Table1[[#This Row],[Estimação (horas)]]</f>
        <v>2</v>
      </c>
      <c r="X286" s="2"/>
    </row>
    <row r="287" spans="2:24" ht="17.7"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1190</v>
      </c>
      <c r="L287" s="28" t="s">
        <v>1185</v>
      </c>
      <c r="M287" s="20" t="s">
        <v>1194</v>
      </c>
      <c r="N287" s="47">
        <v>45485</v>
      </c>
      <c r="O287" s="20">
        <f>INDEX(Auxiliar!$D$5:$F$13,MATCH(Table1[[#This Row],[Tipologia_Testes]],Auxiliar!$B$5:$B$13,0),MATCH(Table1[[#This Row],[Complexidade]],Auxiliar!$D$4:$F$4,0))</f>
        <v>0.1</v>
      </c>
      <c r="P287" s="2" t="s">
        <v>1211</v>
      </c>
      <c r="Q287" s="2"/>
      <c r="R287" s="151">
        <v>45261</v>
      </c>
      <c r="S287" s="151"/>
      <c r="T287" s="151"/>
      <c r="U287" s="151"/>
      <c r="V287" s="151"/>
      <c r="W287" s="2">
        <f>VLOOKUP(Table1[[#This Row],[Status]],Auxiliar!$B$16:$D$24,3,0)*Table1[[#This Row],[Estimação (horas)]]</f>
        <v>0.1</v>
      </c>
      <c r="X287" s="2"/>
    </row>
    <row r="288" spans="2:24" ht="17.7"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617</v>
      </c>
      <c r="J288" s="42">
        <f>VLOOKUP(Table1[[#This Row],[Status]],Auxiliar!$B$16:$C$24,2,0)</f>
        <v>7</v>
      </c>
      <c r="K288" s="2" t="s">
        <v>1187</v>
      </c>
      <c r="L288" s="28" t="s">
        <v>1185</v>
      </c>
      <c r="M288" s="20" t="s">
        <v>1194</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7"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617</v>
      </c>
      <c r="J289" s="42">
        <f>VLOOKUP(Table1[[#This Row],[Status]],Auxiliar!$B$16:$C$24,2,0)</f>
        <v>7</v>
      </c>
      <c r="K289" s="2" t="s">
        <v>1188</v>
      </c>
      <c r="L289" s="28" t="s">
        <v>1185</v>
      </c>
      <c r="M289" s="20" t="s">
        <v>1194</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7"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617</v>
      </c>
      <c r="J290" s="42">
        <f>VLOOKUP(Table1[[#This Row],[Status]],Auxiliar!$B$16:$C$24,2,0)</f>
        <v>7</v>
      </c>
      <c r="K290" s="2" t="s">
        <v>1190</v>
      </c>
      <c r="L290" s="28" t="s">
        <v>1185</v>
      </c>
      <c r="M290" s="20" t="s">
        <v>1194</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7"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1187</v>
      </c>
      <c r="L291" s="28" t="s">
        <v>1185</v>
      </c>
      <c r="M291" s="20" t="s">
        <v>1194</v>
      </c>
      <c r="N291" s="47">
        <v>45485</v>
      </c>
      <c r="O291" s="20">
        <f>INDEX(Auxiliar!$D$5:$F$13,MATCH(Table1[[#This Row],[Tipologia_Testes]],Auxiliar!$B$5:$B$13,0),MATCH(Table1[[#This Row],[Complexidade]],Auxiliar!$D$4:$F$4,0))</f>
        <v>2</v>
      </c>
      <c r="P291" s="2" t="s">
        <v>1211</v>
      </c>
      <c r="Q291" s="2"/>
      <c r="R291" s="151">
        <v>45261</v>
      </c>
      <c r="S291" s="151"/>
      <c r="T291" s="151"/>
      <c r="U291" s="151"/>
      <c r="V291" s="151"/>
      <c r="W291" s="2">
        <f>VLOOKUP(Table1[[#This Row],[Status]],Auxiliar!$B$16:$D$24,3,0)*Table1[[#This Row],[Estimação (horas)]]</f>
        <v>2</v>
      </c>
      <c r="X291" s="2"/>
    </row>
    <row r="292" spans="2:24" ht="17.7"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1188</v>
      </c>
      <c r="L292" s="28" t="s">
        <v>1185</v>
      </c>
      <c r="M292" s="20" t="s">
        <v>1194</v>
      </c>
      <c r="N292" s="47">
        <v>45485</v>
      </c>
      <c r="O292" s="20">
        <f>INDEX(Auxiliar!$D$5:$F$13,MATCH(Table1[[#This Row],[Tipologia_Testes]],Auxiliar!$B$5:$B$13,0),MATCH(Table1[[#This Row],[Complexidade]],Auxiliar!$D$4:$F$4,0))</f>
        <v>2</v>
      </c>
      <c r="P292" s="2" t="s">
        <v>1211</v>
      </c>
      <c r="Q292" s="2"/>
      <c r="R292" s="151">
        <v>45261</v>
      </c>
      <c r="S292" s="151"/>
      <c r="T292" s="151"/>
      <c r="U292" s="151"/>
      <c r="V292" s="151"/>
      <c r="W292" s="2">
        <f>VLOOKUP(Table1[[#This Row],[Status]],Auxiliar!$B$16:$D$24,3,0)*Table1[[#This Row],[Estimação (horas)]]</f>
        <v>2</v>
      </c>
      <c r="X292" s="2"/>
    </row>
    <row r="293" spans="2:24" ht="17.7"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1190</v>
      </c>
      <c r="L293" s="28" t="s">
        <v>1185</v>
      </c>
      <c r="M293" s="20" t="s">
        <v>1194</v>
      </c>
      <c r="N293" s="47">
        <v>45485</v>
      </c>
      <c r="O293" s="20">
        <f>INDEX(Auxiliar!$D$5:$F$13,MATCH(Table1[[#This Row],[Tipologia_Testes]],Auxiliar!$B$5:$B$13,0),MATCH(Table1[[#This Row],[Complexidade]],Auxiliar!$D$4:$F$4,0))</f>
        <v>0.1</v>
      </c>
      <c r="P293" s="2" t="s">
        <v>1211</v>
      </c>
      <c r="Q293" s="2"/>
      <c r="R293" s="151">
        <v>45261</v>
      </c>
      <c r="S293" s="151"/>
      <c r="T293" s="151"/>
      <c r="U293" s="151"/>
      <c r="V293" s="151"/>
      <c r="W293" s="2">
        <f>VLOOKUP(Table1[[#This Row],[Status]],Auxiliar!$B$16:$D$24,3,0)*Table1[[#This Row],[Estimação (horas)]]</f>
        <v>0.1</v>
      </c>
      <c r="X293" s="2"/>
    </row>
    <row r="294" spans="2:24" ht="17.7"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1187</v>
      </c>
      <c r="L294" s="28" t="s">
        <v>1185</v>
      </c>
      <c r="M294" s="20" t="s">
        <v>1194</v>
      </c>
      <c r="N294" s="47">
        <v>45485</v>
      </c>
      <c r="O294" s="20">
        <f>INDEX(Auxiliar!$D$5:$F$13,MATCH(Table1[[#This Row],[Tipologia_Testes]],Auxiliar!$B$5:$B$13,0),MATCH(Table1[[#This Row],[Complexidade]],Auxiliar!$D$4:$F$4,0))</f>
        <v>2</v>
      </c>
      <c r="P294" s="2" t="s">
        <v>1211</v>
      </c>
      <c r="Q294" s="2"/>
      <c r="R294" s="151">
        <v>45261</v>
      </c>
      <c r="S294" s="151"/>
      <c r="T294" s="151"/>
      <c r="U294" s="151"/>
      <c r="V294" s="151"/>
      <c r="W294" s="2">
        <f>VLOOKUP(Table1[[#This Row],[Status]],Auxiliar!$B$16:$D$24,3,0)*Table1[[#This Row],[Estimação (horas)]]</f>
        <v>2</v>
      </c>
      <c r="X294" s="2"/>
    </row>
    <row r="295" spans="2:24" ht="17.7"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1188</v>
      </c>
      <c r="L295" s="28" t="s">
        <v>1185</v>
      </c>
      <c r="M295" s="20" t="s">
        <v>1194</v>
      </c>
      <c r="N295" s="47">
        <v>45485</v>
      </c>
      <c r="O295" s="20">
        <f>INDEX(Auxiliar!$D$5:$F$13,MATCH(Table1[[#This Row],[Tipologia_Testes]],Auxiliar!$B$5:$B$13,0),MATCH(Table1[[#This Row],[Complexidade]],Auxiliar!$D$4:$F$4,0))</f>
        <v>2</v>
      </c>
      <c r="P295" s="2" t="s">
        <v>1211</v>
      </c>
      <c r="Q295" s="2"/>
      <c r="R295" s="151">
        <v>45261</v>
      </c>
      <c r="S295" s="151"/>
      <c r="T295" s="151"/>
      <c r="U295" s="151"/>
      <c r="V295" s="151"/>
      <c r="W295" s="2">
        <f>VLOOKUP(Table1[[#This Row],[Status]],Auxiliar!$B$16:$D$24,3,0)*Table1[[#This Row],[Estimação (horas)]]</f>
        <v>2</v>
      </c>
      <c r="X295" s="2"/>
    </row>
    <row r="296" spans="2:24" ht="17.7"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1190</v>
      </c>
      <c r="L296" s="28" t="s">
        <v>1185</v>
      </c>
      <c r="M296" s="20" t="s">
        <v>1194</v>
      </c>
      <c r="N296" s="47">
        <v>45485</v>
      </c>
      <c r="O296" s="20">
        <f>INDEX(Auxiliar!$D$5:$F$13,MATCH(Table1[[#This Row],[Tipologia_Testes]],Auxiliar!$B$5:$B$13,0),MATCH(Table1[[#This Row],[Complexidade]],Auxiliar!$D$4:$F$4,0))</f>
        <v>0.1</v>
      </c>
      <c r="P296" s="2" t="s">
        <v>1211</v>
      </c>
      <c r="Q296" s="2"/>
      <c r="R296" s="151">
        <v>45261</v>
      </c>
      <c r="S296" s="151"/>
      <c r="T296" s="151"/>
      <c r="U296" s="151"/>
      <c r="V296" s="151"/>
      <c r="W296" s="2">
        <f>VLOOKUP(Table1[[#This Row],[Status]],Auxiliar!$B$16:$D$24,3,0)*Table1[[#This Row],[Estimação (horas)]]</f>
        <v>0.1</v>
      </c>
      <c r="X296" s="2"/>
    </row>
    <row r="297" spans="2:24" ht="17.7"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1187</v>
      </c>
      <c r="L297" s="28" t="s">
        <v>1185</v>
      </c>
      <c r="M297" s="20" t="s">
        <v>1194</v>
      </c>
      <c r="N297" s="47">
        <v>45485</v>
      </c>
      <c r="O297" s="20">
        <f>INDEX(Auxiliar!$D$5:$F$13,MATCH(Table1[[#This Row],[Tipologia_Testes]],Auxiliar!$B$5:$B$13,0),MATCH(Table1[[#This Row],[Complexidade]],Auxiliar!$D$4:$F$4,0))</f>
        <v>2</v>
      </c>
      <c r="P297" s="2" t="s">
        <v>1211</v>
      </c>
      <c r="Q297" s="2"/>
      <c r="R297" s="151">
        <v>45261</v>
      </c>
      <c r="S297" s="151"/>
      <c r="T297" s="151"/>
      <c r="U297" s="151"/>
      <c r="V297" s="151"/>
      <c r="W297" s="2">
        <f>VLOOKUP(Table1[[#This Row],[Status]],Auxiliar!$B$16:$D$24,3,0)*Table1[[#This Row],[Estimação (horas)]]</f>
        <v>2</v>
      </c>
      <c r="X297" s="2"/>
    </row>
    <row r="298" spans="2:24" ht="17.7"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1188</v>
      </c>
      <c r="L298" s="28" t="s">
        <v>1185</v>
      </c>
      <c r="M298" s="20" t="s">
        <v>1194</v>
      </c>
      <c r="N298" s="47">
        <v>45485</v>
      </c>
      <c r="O298" s="20">
        <f>INDEX(Auxiliar!$D$5:$F$13,MATCH(Table1[[#This Row],[Tipologia_Testes]],Auxiliar!$B$5:$B$13,0),MATCH(Table1[[#This Row],[Complexidade]],Auxiliar!$D$4:$F$4,0))</f>
        <v>2</v>
      </c>
      <c r="P298" s="2" t="s">
        <v>1211</v>
      </c>
      <c r="Q298" s="2"/>
      <c r="R298" s="151">
        <v>45261</v>
      </c>
      <c r="S298" s="151"/>
      <c r="T298" s="151"/>
      <c r="U298" s="151"/>
      <c r="V298" s="151"/>
      <c r="W298" s="2">
        <f>VLOOKUP(Table1[[#This Row],[Status]],Auxiliar!$B$16:$D$24,3,0)*Table1[[#This Row],[Estimação (horas)]]</f>
        <v>2</v>
      </c>
      <c r="X298" s="2"/>
    </row>
    <row r="299" spans="2:24" ht="17.7"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1190</v>
      </c>
      <c r="L299" s="28" t="s">
        <v>1185</v>
      </c>
      <c r="M299" s="20" t="s">
        <v>1194</v>
      </c>
      <c r="N299" s="47">
        <v>45485</v>
      </c>
      <c r="O299" s="20">
        <f>INDEX(Auxiliar!$D$5:$F$13,MATCH(Table1[[#This Row],[Tipologia_Testes]],Auxiliar!$B$5:$B$13,0),MATCH(Table1[[#This Row],[Complexidade]],Auxiliar!$D$4:$F$4,0))</f>
        <v>0.1</v>
      </c>
      <c r="P299" s="2" t="s">
        <v>1211</v>
      </c>
      <c r="Q299" s="2"/>
      <c r="R299" s="151">
        <v>45261</v>
      </c>
      <c r="S299" s="151"/>
      <c r="T299" s="151"/>
      <c r="U299" s="151"/>
      <c r="V299" s="151"/>
      <c r="W299" s="2">
        <f>VLOOKUP(Table1[[#This Row],[Status]],Auxiliar!$B$16:$D$24,3,0)*Table1[[#This Row],[Estimação (horas)]]</f>
        <v>0.1</v>
      </c>
      <c r="X299" s="2"/>
    </row>
    <row r="300" spans="2:24" ht="17.7"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1187</v>
      </c>
      <c r="L300" s="28" t="s">
        <v>1185</v>
      </c>
      <c r="M300" s="20" t="s">
        <v>1194</v>
      </c>
      <c r="N300" s="47">
        <v>45485</v>
      </c>
      <c r="O300" s="20">
        <f>INDEX(Auxiliar!$D$5:$F$13,MATCH(Table1[[#This Row],[Tipologia_Testes]],Auxiliar!$B$5:$B$13,0),MATCH(Table1[[#This Row],[Complexidade]],Auxiliar!$D$4:$F$4,0))</f>
        <v>2</v>
      </c>
      <c r="P300" s="2" t="s">
        <v>1211</v>
      </c>
      <c r="Q300" s="2"/>
      <c r="R300" s="151">
        <v>45261</v>
      </c>
      <c r="S300" s="151"/>
      <c r="T300" s="151"/>
      <c r="U300" s="151"/>
      <c r="V300" s="151"/>
      <c r="W300" s="2">
        <f>VLOOKUP(Table1[[#This Row],[Status]],Auxiliar!$B$16:$D$24,3,0)*Table1[[#This Row],[Estimação (horas)]]</f>
        <v>2</v>
      </c>
      <c r="X300" s="2"/>
    </row>
    <row r="301" spans="2:24" ht="17.7"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1188</v>
      </c>
      <c r="L301" s="28" t="s">
        <v>1185</v>
      </c>
      <c r="M301" s="20" t="s">
        <v>1194</v>
      </c>
      <c r="N301" s="47">
        <v>45485</v>
      </c>
      <c r="O301" s="20">
        <f>INDEX(Auxiliar!$D$5:$F$13,MATCH(Table1[[#This Row],[Tipologia_Testes]],Auxiliar!$B$5:$B$13,0),MATCH(Table1[[#This Row],[Complexidade]],Auxiliar!$D$4:$F$4,0))</f>
        <v>2</v>
      </c>
      <c r="P301" s="2" t="s">
        <v>1211</v>
      </c>
      <c r="Q301" s="2"/>
      <c r="R301" s="151">
        <v>45261</v>
      </c>
      <c r="S301" s="151"/>
      <c r="T301" s="151"/>
      <c r="U301" s="151"/>
      <c r="V301" s="151"/>
      <c r="W301" s="2">
        <f>VLOOKUP(Table1[[#This Row],[Status]],Auxiliar!$B$16:$D$24,3,0)*Table1[[#This Row],[Estimação (horas)]]</f>
        <v>2</v>
      </c>
      <c r="X301" s="2"/>
    </row>
    <row r="302" spans="2:24" ht="17.7"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1190</v>
      </c>
      <c r="L302" s="28" t="s">
        <v>1185</v>
      </c>
      <c r="M302" s="20" t="s">
        <v>1194</v>
      </c>
      <c r="N302" s="47">
        <v>45485</v>
      </c>
      <c r="O302" s="20">
        <f>INDEX(Auxiliar!$D$5:$F$13,MATCH(Table1[[#This Row],[Tipologia_Testes]],Auxiliar!$B$5:$B$13,0),MATCH(Table1[[#This Row],[Complexidade]],Auxiliar!$D$4:$F$4,0))</f>
        <v>0.1</v>
      </c>
      <c r="P302" s="2" t="s">
        <v>1211</v>
      </c>
      <c r="Q302" s="2"/>
      <c r="R302" s="151">
        <v>45261</v>
      </c>
      <c r="S302" s="151"/>
      <c r="T302" s="151"/>
      <c r="U302" s="151"/>
      <c r="V302" s="151"/>
      <c r="W302" s="2">
        <f>VLOOKUP(Table1[[#This Row],[Status]],Auxiliar!$B$16:$D$24,3,0)*Table1[[#This Row],[Estimação (horas)]]</f>
        <v>0.1</v>
      </c>
      <c r="X302" s="2"/>
    </row>
    <row r="303" spans="2:24" ht="17.7"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1187</v>
      </c>
      <c r="L303" s="28" t="s">
        <v>1185</v>
      </c>
      <c r="M303" s="20" t="s">
        <v>1194</v>
      </c>
      <c r="N303" s="47">
        <v>45485</v>
      </c>
      <c r="O303" s="20">
        <f>INDEX(Auxiliar!$D$5:$F$13,MATCH(Table1[[#This Row],[Tipologia_Testes]],Auxiliar!$B$5:$B$13,0),MATCH(Table1[[#This Row],[Complexidade]],Auxiliar!$D$4:$F$4,0))</f>
        <v>2</v>
      </c>
      <c r="P303" s="2" t="s">
        <v>1211</v>
      </c>
      <c r="Q303" s="2"/>
      <c r="R303" s="151">
        <v>45261</v>
      </c>
      <c r="S303" s="151"/>
      <c r="T303" s="151"/>
      <c r="U303" s="151"/>
      <c r="V303" s="151"/>
      <c r="W303" s="2">
        <f>VLOOKUP(Table1[[#This Row],[Status]],Auxiliar!$B$16:$D$24,3,0)*Table1[[#This Row],[Estimação (horas)]]</f>
        <v>2</v>
      </c>
      <c r="X303" s="2"/>
    </row>
    <row r="304" spans="2:24" ht="17.7"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1188</v>
      </c>
      <c r="L304" s="28" t="s">
        <v>1185</v>
      </c>
      <c r="M304" s="20" t="s">
        <v>1194</v>
      </c>
      <c r="N304" s="47">
        <v>45485</v>
      </c>
      <c r="O304" s="20">
        <f>INDEX(Auxiliar!$D$5:$F$13,MATCH(Table1[[#This Row],[Tipologia_Testes]],Auxiliar!$B$5:$B$13,0),MATCH(Table1[[#This Row],[Complexidade]],Auxiliar!$D$4:$F$4,0))</f>
        <v>2</v>
      </c>
      <c r="P304" s="2" t="s">
        <v>1211</v>
      </c>
      <c r="Q304" s="2"/>
      <c r="R304" s="151">
        <v>45261</v>
      </c>
      <c r="S304" s="151"/>
      <c r="T304" s="151"/>
      <c r="U304" s="151"/>
      <c r="V304" s="151"/>
      <c r="W304" s="2">
        <f>VLOOKUP(Table1[[#This Row],[Status]],Auxiliar!$B$16:$D$24,3,0)*Table1[[#This Row],[Estimação (horas)]]</f>
        <v>2</v>
      </c>
      <c r="X304" s="2"/>
    </row>
    <row r="305" spans="2:24" ht="17.7"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1190</v>
      </c>
      <c r="L305" s="28" t="s">
        <v>1185</v>
      </c>
      <c r="M305" s="20" t="s">
        <v>1194</v>
      </c>
      <c r="N305" s="47">
        <v>45485</v>
      </c>
      <c r="O305" s="20">
        <f>INDEX(Auxiliar!$D$5:$F$13,MATCH(Table1[[#This Row],[Tipologia_Testes]],Auxiliar!$B$5:$B$13,0),MATCH(Table1[[#This Row],[Complexidade]],Auxiliar!$D$4:$F$4,0))</f>
        <v>0.1</v>
      </c>
      <c r="P305" s="2" t="s">
        <v>1211</v>
      </c>
      <c r="Q305" s="2"/>
      <c r="R305" s="151">
        <v>45261</v>
      </c>
      <c r="S305" s="151"/>
      <c r="T305" s="151"/>
      <c r="U305" s="151"/>
      <c r="V305" s="151"/>
      <c r="W305" s="2">
        <f>VLOOKUP(Table1[[#This Row],[Status]],Auxiliar!$B$16:$D$24,3,0)*Table1[[#This Row],[Estimação (horas)]]</f>
        <v>0.1</v>
      </c>
      <c r="X305" s="2"/>
    </row>
    <row r="306" spans="2:24" ht="17.7"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1187</v>
      </c>
      <c r="L306" s="28" t="s">
        <v>1185</v>
      </c>
      <c r="M306" s="20" t="s">
        <v>1194</v>
      </c>
      <c r="N306" s="47">
        <v>45485</v>
      </c>
      <c r="O306" s="20">
        <f>INDEX(Auxiliar!$D$5:$F$13,MATCH(Table1[[#This Row],[Tipologia_Testes]],Auxiliar!$B$5:$B$13,0),MATCH(Table1[[#This Row],[Complexidade]],Auxiliar!$D$4:$F$4,0))</f>
        <v>2</v>
      </c>
      <c r="P306" s="2" t="s">
        <v>1211</v>
      </c>
      <c r="Q306" s="2"/>
      <c r="R306" s="151">
        <v>45261</v>
      </c>
      <c r="S306" s="151"/>
      <c r="T306" s="151"/>
      <c r="U306" s="151"/>
      <c r="V306" s="151"/>
      <c r="W306" s="2">
        <f>VLOOKUP(Table1[[#This Row],[Status]],Auxiliar!$B$16:$D$24,3,0)*Table1[[#This Row],[Estimação (horas)]]</f>
        <v>2</v>
      </c>
      <c r="X306" s="2"/>
    </row>
    <row r="307" spans="2:24" ht="17.7"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1188</v>
      </c>
      <c r="L307" s="28" t="s">
        <v>1185</v>
      </c>
      <c r="M307" s="20" t="s">
        <v>1194</v>
      </c>
      <c r="N307" s="47">
        <v>45485</v>
      </c>
      <c r="O307" s="20">
        <f>INDEX(Auxiliar!$D$5:$F$13,MATCH(Table1[[#This Row],[Tipologia_Testes]],Auxiliar!$B$5:$B$13,0),MATCH(Table1[[#This Row],[Complexidade]],Auxiliar!$D$4:$F$4,0))</f>
        <v>2</v>
      </c>
      <c r="P307" s="2" t="s">
        <v>1211</v>
      </c>
      <c r="Q307" s="2"/>
      <c r="R307" s="151">
        <v>45261</v>
      </c>
      <c r="S307" s="151"/>
      <c r="T307" s="151"/>
      <c r="U307" s="151"/>
      <c r="V307" s="151"/>
      <c r="W307" s="2">
        <f>VLOOKUP(Table1[[#This Row],[Status]],Auxiliar!$B$16:$D$24,3,0)*Table1[[#This Row],[Estimação (horas)]]</f>
        <v>2</v>
      </c>
      <c r="X307" s="2"/>
    </row>
    <row r="308" spans="2:24" ht="17.7"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1190</v>
      </c>
      <c r="L308" s="28" t="s">
        <v>1185</v>
      </c>
      <c r="M308" s="20" t="s">
        <v>1194</v>
      </c>
      <c r="N308" s="47">
        <v>45485</v>
      </c>
      <c r="O308" s="20">
        <f>INDEX(Auxiliar!$D$5:$F$13,MATCH(Table1[[#This Row],[Tipologia_Testes]],Auxiliar!$B$5:$B$13,0),MATCH(Table1[[#This Row],[Complexidade]],Auxiliar!$D$4:$F$4,0))</f>
        <v>0.1</v>
      </c>
      <c r="P308" s="2" t="s">
        <v>1211</v>
      </c>
      <c r="Q308" s="2"/>
      <c r="R308" s="151">
        <v>45261</v>
      </c>
      <c r="S308" s="151"/>
      <c r="T308" s="151"/>
      <c r="U308" s="151"/>
      <c r="V308" s="151"/>
      <c r="W308" s="2">
        <f>VLOOKUP(Table1[[#This Row],[Status]],Auxiliar!$B$16:$D$24,3,0)*Table1[[#This Row],[Estimação (horas)]]</f>
        <v>0.1</v>
      </c>
      <c r="X308" s="2"/>
    </row>
    <row r="309" spans="2:24" ht="17.7"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1187</v>
      </c>
      <c r="L309" s="28" t="s">
        <v>1185</v>
      </c>
      <c r="M309" s="20" t="s">
        <v>1194</v>
      </c>
      <c r="N309" s="47">
        <v>45485</v>
      </c>
      <c r="O309" s="20">
        <f>INDEX(Auxiliar!$D$5:$F$13,MATCH(Table1[[#This Row],[Tipologia_Testes]],Auxiliar!$B$5:$B$13,0),MATCH(Table1[[#This Row],[Complexidade]],Auxiliar!$D$4:$F$4,0))</f>
        <v>2</v>
      </c>
      <c r="P309" s="2" t="s">
        <v>1211</v>
      </c>
      <c r="Q309" s="2"/>
      <c r="R309" s="151">
        <v>45261</v>
      </c>
      <c r="S309" s="151"/>
      <c r="T309" s="151"/>
      <c r="U309" s="151"/>
      <c r="V309" s="151"/>
      <c r="W309" s="2">
        <f>VLOOKUP(Table1[[#This Row],[Status]],Auxiliar!$B$16:$D$24,3,0)*Table1[[#This Row],[Estimação (horas)]]</f>
        <v>2</v>
      </c>
      <c r="X309" s="2"/>
    </row>
    <row r="310" spans="2:24" ht="17.7"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1188</v>
      </c>
      <c r="L310" s="28" t="s">
        <v>1185</v>
      </c>
      <c r="M310" s="20" t="s">
        <v>1194</v>
      </c>
      <c r="N310" s="47">
        <v>45485</v>
      </c>
      <c r="O310" s="20">
        <f>INDEX(Auxiliar!$D$5:$F$13,MATCH(Table1[[#This Row],[Tipologia_Testes]],Auxiliar!$B$5:$B$13,0),MATCH(Table1[[#This Row],[Complexidade]],Auxiliar!$D$4:$F$4,0))</f>
        <v>2</v>
      </c>
      <c r="P310" s="2" t="s">
        <v>1211</v>
      </c>
      <c r="Q310" s="2"/>
      <c r="R310" s="151">
        <v>45261</v>
      </c>
      <c r="S310" s="151"/>
      <c r="T310" s="151"/>
      <c r="U310" s="151"/>
      <c r="V310" s="151"/>
      <c r="W310" s="2">
        <f>VLOOKUP(Table1[[#This Row],[Status]],Auxiliar!$B$16:$D$24,3,0)*Table1[[#This Row],[Estimação (horas)]]</f>
        <v>2</v>
      </c>
      <c r="X310" s="2"/>
    </row>
    <row r="311" spans="2:24" ht="17.7"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1190</v>
      </c>
      <c r="L311" s="28" t="s">
        <v>1185</v>
      </c>
      <c r="M311" s="20" t="s">
        <v>1194</v>
      </c>
      <c r="N311" s="47">
        <v>45485</v>
      </c>
      <c r="O311" s="20">
        <f>INDEX(Auxiliar!$D$5:$F$13,MATCH(Table1[[#This Row],[Tipologia_Testes]],Auxiliar!$B$5:$B$13,0),MATCH(Table1[[#This Row],[Complexidade]],Auxiliar!$D$4:$F$4,0))</f>
        <v>0.1</v>
      </c>
      <c r="P311" s="2" t="s">
        <v>1211</v>
      </c>
      <c r="Q311" s="2"/>
      <c r="R311" s="151">
        <v>45261</v>
      </c>
      <c r="S311" s="151"/>
      <c r="T311" s="151"/>
      <c r="U311" s="151"/>
      <c r="V311" s="151"/>
      <c r="W311" s="2">
        <f>VLOOKUP(Table1[[#This Row],[Status]],Auxiliar!$B$16:$D$24,3,0)*Table1[[#This Row],[Estimação (horas)]]</f>
        <v>0.1</v>
      </c>
      <c r="X311" s="2"/>
    </row>
    <row r="312" spans="2:24" ht="17.7"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1187</v>
      </c>
      <c r="L312" s="28" t="s">
        <v>1185</v>
      </c>
      <c r="M312" s="20" t="s">
        <v>1194</v>
      </c>
      <c r="N312" s="47">
        <v>45485</v>
      </c>
      <c r="O312" s="20">
        <f>INDEX(Auxiliar!$D$5:$F$13,MATCH(Table1[[#This Row],[Tipologia_Testes]],Auxiliar!$B$5:$B$13,0),MATCH(Table1[[#This Row],[Complexidade]],Auxiliar!$D$4:$F$4,0))</f>
        <v>2</v>
      </c>
      <c r="P312" s="2" t="s">
        <v>1211</v>
      </c>
      <c r="Q312" s="2"/>
      <c r="R312" s="151">
        <v>45261</v>
      </c>
      <c r="S312" s="151"/>
      <c r="T312" s="151"/>
      <c r="U312" s="151"/>
      <c r="V312" s="151"/>
      <c r="W312" s="2">
        <f>VLOOKUP(Table1[[#This Row],[Status]],Auxiliar!$B$16:$D$24,3,0)*Table1[[#This Row],[Estimação (horas)]]</f>
        <v>2</v>
      </c>
      <c r="X312" s="2"/>
    </row>
    <row r="313" spans="2:24" ht="17.7"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1188</v>
      </c>
      <c r="L313" s="28" t="s">
        <v>1185</v>
      </c>
      <c r="M313" s="20" t="s">
        <v>1194</v>
      </c>
      <c r="N313" s="47">
        <v>45485</v>
      </c>
      <c r="O313" s="20">
        <f>INDEX(Auxiliar!$D$5:$F$13,MATCH(Table1[[#This Row],[Tipologia_Testes]],Auxiliar!$B$5:$B$13,0),MATCH(Table1[[#This Row],[Complexidade]],Auxiliar!$D$4:$F$4,0))</f>
        <v>2</v>
      </c>
      <c r="P313" s="2" t="s">
        <v>1211</v>
      </c>
      <c r="Q313" s="2"/>
      <c r="R313" s="151">
        <v>45261</v>
      </c>
      <c r="S313" s="151"/>
      <c r="T313" s="151"/>
      <c r="U313" s="151"/>
      <c r="V313" s="151"/>
      <c r="W313" s="2">
        <f>VLOOKUP(Table1[[#This Row],[Status]],Auxiliar!$B$16:$D$24,3,0)*Table1[[#This Row],[Estimação (horas)]]</f>
        <v>2</v>
      </c>
      <c r="X313" s="2"/>
    </row>
    <row r="314" spans="2:24" ht="17.7"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1190</v>
      </c>
      <c r="L314" s="28" t="s">
        <v>1185</v>
      </c>
      <c r="M314" s="20" t="s">
        <v>1194</v>
      </c>
      <c r="N314" s="47">
        <v>45485</v>
      </c>
      <c r="O314" s="20">
        <f>INDEX(Auxiliar!$D$5:$F$13,MATCH(Table1[[#This Row],[Tipologia_Testes]],Auxiliar!$B$5:$B$13,0),MATCH(Table1[[#This Row],[Complexidade]],Auxiliar!$D$4:$F$4,0))</f>
        <v>0.1</v>
      </c>
      <c r="P314" s="2" t="s">
        <v>1211</v>
      </c>
      <c r="Q314" s="2"/>
      <c r="R314" s="151">
        <v>45261</v>
      </c>
      <c r="S314" s="151"/>
      <c r="T314" s="151"/>
      <c r="U314" s="151"/>
      <c r="V314" s="151"/>
      <c r="W314" s="2">
        <f>VLOOKUP(Table1[[#This Row],[Status]],Auxiliar!$B$16:$D$24,3,0)*Table1[[#This Row],[Estimação (horas)]]</f>
        <v>0.1</v>
      </c>
      <c r="X314" s="2"/>
    </row>
    <row r="315" spans="2:24" ht="17.7"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617</v>
      </c>
      <c r="J315" s="42">
        <f>VLOOKUP(Table1[[#This Row],[Status]],Auxiliar!$B$16:$C$24,2,0)</f>
        <v>7</v>
      </c>
      <c r="K315" s="2" t="s">
        <v>1187</v>
      </c>
      <c r="L315" s="28" t="s">
        <v>1185</v>
      </c>
      <c r="M315" s="20" t="s">
        <v>1194</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7"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617</v>
      </c>
      <c r="J316" s="42">
        <f>VLOOKUP(Table1[[#This Row],[Status]],Auxiliar!$B$16:$C$24,2,0)</f>
        <v>7</v>
      </c>
      <c r="K316" s="2" t="s">
        <v>1188</v>
      </c>
      <c r="L316" s="28" t="s">
        <v>1185</v>
      </c>
      <c r="M316" s="20" t="s">
        <v>1194</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7"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617</v>
      </c>
      <c r="J317" s="42">
        <f>VLOOKUP(Table1[[#This Row],[Status]],Auxiliar!$B$16:$C$24,2,0)</f>
        <v>7</v>
      </c>
      <c r="K317" s="2" t="s">
        <v>1190</v>
      </c>
      <c r="L317" s="28" t="s">
        <v>1185</v>
      </c>
      <c r="M317" s="20" t="s">
        <v>1194</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7"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1187</v>
      </c>
      <c r="L318" s="28" t="s">
        <v>1185</v>
      </c>
      <c r="M318" s="20" t="s">
        <v>1194</v>
      </c>
      <c r="N318" s="47">
        <v>45485</v>
      </c>
      <c r="O318" s="20">
        <f>INDEX(Auxiliar!$D$5:$F$13,MATCH(Table1[[#This Row],[Tipologia_Testes]],Auxiliar!$B$5:$B$13,0),MATCH(Table1[[#This Row],[Complexidade]],Auxiliar!$D$4:$F$4,0))</f>
        <v>2</v>
      </c>
      <c r="P318" s="2" t="s">
        <v>1211</v>
      </c>
      <c r="Q318" s="2"/>
      <c r="R318" s="151">
        <v>45261</v>
      </c>
      <c r="S318" s="151"/>
      <c r="T318" s="151"/>
      <c r="U318" s="151"/>
      <c r="V318" s="151"/>
      <c r="W318" s="2">
        <f>VLOOKUP(Table1[[#This Row],[Status]],Auxiliar!$B$16:$D$24,3,0)*Table1[[#This Row],[Estimação (horas)]]</f>
        <v>2</v>
      </c>
      <c r="X318" s="2"/>
    </row>
    <row r="319" spans="2:24" ht="17.7"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1188</v>
      </c>
      <c r="L319" s="28" t="s">
        <v>1185</v>
      </c>
      <c r="M319" s="20" t="s">
        <v>1194</v>
      </c>
      <c r="N319" s="47">
        <v>45485</v>
      </c>
      <c r="O319" s="20">
        <f>INDEX(Auxiliar!$D$5:$F$13,MATCH(Table1[[#This Row],[Tipologia_Testes]],Auxiliar!$B$5:$B$13,0),MATCH(Table1[[#This Row],[Complexidade]],Auxiliar!$D$4:$F$4,0))</f>
        <v>2</v>
      </c>
      <c r="P319" s="2" t="s">
        <v>1211</v>
      </c>
      <c r="Q319" s="2"/>
      <c r="R319" s="151">
        <v>45261</v>
      </c>
      <c r="S319" s="151"/>
      <c r="T319" s="151"/>
      <c r="U319" s="151"/>
      <c r="V319" s="151"/>
      <c r="W319" s="2">
        <f>VLOOKUP(Table1[[#This Row],[Status]],Auxiliar!$B$16:$D$24,3,0)*Table1[[#This Row],[Estimação (horas)]]</f>
        <v>2</v>
      </c>
      <c r="X319" s="2"/>
    </row>
    <row r="320" spans="2:24" ht="17.7"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1190</v>
      </c>
      <c r="L320" s="28" t="s">
        <v>1185</v>
      </c>
      <c r="M320" s="20" t="s">
        <v>1194</v>
      </c>
      <c r="N320" s="47">
        <v>45485</v>
      </c>
      <c r="O320" s="20">
        <f>INDEX(Auxiliar!$D$5:$F$13,MATCH(Table1[[#This Row],[Tipologia_Testes]],Auxiliar!$B$5:$B$13,0),MATCH(Table1[[#This Row],[Complexidade]],Auxiliar!$D$4:$F$4,0))</f>
        <v>0.1</v>
      </c>
      <c r="P320" s="2" t="s">
        <v>1211</v>
      </c>
      <c r="Q320" s="2"/>
      <c r="R320" s="151">
        <v>45261</v>
      </c>
      <c r="S320" s="151"/>
      <c r="T320" s="151"/>
      <c r="U320" s="151"/>
      <c r="V320" s="151"/>
      <c r="W320" s="2">
        <f>VLOOKUP(Table1[[#This Row],[Status]],Auxiliar!$B$16:$D$24,3,0)*Table1[[#This Row],[Estimação (horas)]]</f>
        <v>0.1</v>
      </c>
      <c r="X320" s="2"/>
    </row>
    <row r="321" spans="2:24" ht="17.7"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1187</v>
      </c>
      <c r="L321" s="28" t="s">
        <v>1185</v>
      </c>
      <c r="M321" s="20" t="s">
        <v>1194</v>
      </c>
      <c r="N321" s="47">
        <v>45485</v>
      </c>
      <c r="O321" s="20">
        <f>INDEX(Auxiliar!$D$5:$F$13,MATCH(Table1[[#This Row],[Tipologia_Testes]],Auxiliar!$B$5:$B$13,0),MATCH(Table1[[#This Row],[Complexidade]],Auxiliar!$D$4:$F$4,0))</f>
        <v>2</v>
      </c>
      <c r="P321" s="2" t="s">
        <v>1211</v>
      </c>
      <c r="Q321" s="2"/>
      <c r="R321" s="151">
        <v>45261</v>
      </c>
      <c r="S321" s="151"/>
      <c r="T321" s="151"/>
      <c r="U321" s="151"/>
      <c r="V321" s="151"/>
      <c r="W321" s="2">
        <f>VLOOKUP(Table1[[#This Row],[Status]],Auxiliar!$B$16:$D$24,3,0)*Table1[[#This Row],[Estimação (horas)]]</f>
        <v>2</v>
      </c>
      <c r="X321" s="2"/>
    </row>
    <row r="322" spans="2:24" ht="17.7"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1188</v>
      </c>
      <c r="L322" s="28" t="s">
        <v>1185</v>
      </c>
      <c r="M322" s="20" t="s">
        <v>1194</v>
      </c>
      <c r="N322" s="47">
        <v>45485</v>
      </c>
      <c r="O322" s="20">
        <f>INDEX(Auxiliar!$D$5:$F$13,MATCH(Table1[[#This Row],[Tipologia_Testes]],Auxiliar!$B$5:$B$13,0),MATCH(Table1[[#This Row],[Complexidade]],Auxiliar!$D$4:$F$4,0))</f>
        <v>2</v>
      </c>
      <c r="P322" s="2" t="s">
        <v>1211</v>
      </c>
      <c r="Q322" s="2"/>
      <c r="R322" s="151">
        <v>45261</v>
      </c>
      <c r="S322" s="151"/>
      <c r="T322" s="151"/>
      <c r="U322" s="151"/>
      <c r="V322" s="151"/>
      <c r="W322" s="2">
        <f>VLOOKUP(Table1[[#This Row],[Status]],Auxiliar!$B$16:$D$24,3,0)*Table1[[#This Row],[Estimação (horas)]]</f>
        <v>2</v>
      </c>
      <c r="X322" s="2"/>
    </row>
    <row r="323" spans="2:24" ht="17.7"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1190</v>
      </c>
      <c r="L323" s="28" t="s">
        <v>1185</v>
      </c>
      <c r="M323" s="20" t="s">
        <v>1194</v>
      </c>
      <c r="N323" s="47">
        <v>45485</v>
      </c>
      <c r="O323" s="20">
        <f>INDEX(Auxiliar!$D$5:$F$13,MATCH(Table1[[#This Row],[Tipologia_Testes]],Auxiliar!$B$5:$B$13,0),MATCH(Table1[[#This Row],[Complexidade]],Auxiliar!$D$4:$F$4,0))</f>
        <v>0.1</v>
      </c>
      <c r="P323" s="2" t="s">
        <v>1211</v>
      </c>
      <c r="Q323" s="2"/>
      <c r="R323" s="151">
        <v>45261</v>
      </c>
      <c r="S323" s="151"/>
      <c r="T323" s="151"/>
      <c r="U323" s="151"/>
      <c r="V323" s="151"/>
      <c r="W323" s="2">
        <f>VLOOKUP(Table1[[#This Row],[Status]],Auxiliar!$B$16:$D$24,3,0)*Table1[[#This Row],[Estimação (horas)]]</f>
        <v>0.1</v>
      </c>
      <c r="X323" s="2"/>
    </row>
    <row r="324" spans="2:24" ht="17.7"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1187</v>
      </c>
      <c r="L324" s="28" t="s">
        <v>1185</v>
      </c>
      <c r="M324" s="20" t="s">
        <v>1194</v>
      </c>
      <c r="N324" s="47">
        <v>45485</v>
      </c>
      <c r="O324" s="20">
        <f>INDEX(Auxiliar!$D$5:$F$13,MATCH(Table1[[#This Row],[Tipologia_Testes]],Auxiliar!$B$5:$B$13,0),MATCH(Table1[[#This Row],[Complexidade]],Auxiliar!$D$4:$F$4,0))</f>
        <v>2</v>
      </c>
      <c r="P324" s="2" t="s">
        <v>1211</v>
      </c>
      <c r="Q324" s="2"/>
      <c r="R324" s="151">
        <v>45261</v>
      </c>
      <c r="S324" s="151"/>
      <c r="T324" s="151"/>
      <c r="U324" s="151"/>
      <c r="V324" s="151"/>
      <c r="W324" s="2">
        <f>VLOOKUP(Table1[[#This Row],[Status]],Auxiliar!$B$16:$D$24,3,0)*Table1[[#This Row],[Estimação (horas)]]</f>
        <v>2</v>
      </c>
      <c r="X324" s="2"/>
    </row>
    <row r="325" spans="2:24" ht="17.7"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1188</v>
      </c>
      <c r="L325" s="28" t="s">
        <v>1185</v>
      </c>
      <c r="M325" s="20" t="s">
        <v>1194</v>
      </c>
      <c r="N325" s="47">
        <v>45485</v>
      </c>
      <c r="O325" s="20">
        <f>INDEX(Auxiliar!$D$5:$F$13,MATCH(Table1[[#This Row],[Tipologia_Testes]],Auxiliar!$B$5:$B$13,0),MATCH(Table1[[#This Row],[Complexidade]],Auxiliar!$D$4:$F$4,0))</f>
        <v>2</v>
      </c>
      <c r="P325" s="2" t="s">
        <v>1211</v>
      </c>
      <c r="Q325" s="2"/>
      <c r="R325" s="151">
        <v>45261</v>
      </c>
      <c r="S325" s="151"/>
      <c r="T325" s="151"/>
      <c r="U325" s="151"/>
      <c r="V325" s="151"/>
      <c r="W325" s="2">
        <f>VLOOKUP(Table1[[#This Row],[Status]],Auxiliar!$B$16:$D$24,3,0)*Table1[[#This Row],[Estimação (horas)]]</f>
        <v>2</v>
      </c>
      <c r="X325" s="2"/>
    </row>
    <row r="326" spans="2:24" ht="17.7"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1190</v>
      </c>
      <c r="L326" s="28" t="s">
        <v>1185</v>
      </c>
      <c r="M326" s="20" t="s">
        <v>1194</v>
      </c>
      <c r="N326" s="47">
        <v>45485</v>
      </c>
      <c r="O326" s="20">
        <f>INDEX(Auxiliar!$D$5:$F$13,MATCH(Table1[[#This Row],[Tipologia_Testes]],Auxiliar!$B$5:$B$13,0),MATCH(Table1[[#This Row],[Complexidade]],Auxiliar!$D$4:$F$4,0))</f>
        <v>0.1</v>
      </c>
      <c r="P326" s="2" t="s">
        <v>1211</v>
      </c>
      <c r="Q326" s="2"/>
      <c r="R326" s="151">
        <v>45261</v>
      </c>
      <c r="S326" s="151"/>
      <c r="T326" s="151"/>
      <c r="U326" s="151"/>
      <c r="V326" s="151"/>
      <c r="W326" s="2">
        <f>VLOOKUP(Table1[[#This Row],[Status]],Auxiliar!$B$16:$D$24,3,0)*Table1[[#This Row],[Estimação (horas)]]</f>
        <v>0.1</v>
      </c>
      <c r="X326" s="2"/>
    </row>
    <row r="327" spans="2:24" ht="17.7"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1187</v>
      </c>
      <c r="L327" s="28" t="s">
        <v>1185</v>
      </c>
      <c r="M327" s="20" t="s">
        <v>1194</v>
      </c>
      <c r="N327" s="47">
        <v>45485</v>
      </c>
      <c r="O327" s="20">
        <f>INDEX(Auxiliar!$D$5:$F$13,MATCH(Table1[[#This Row],[Tipologia_Testes]],Auxiliar!$B$5:$B$13,0),MATCH(Table1[[#This Row],[Complexidade]],Auxiliar!$D$4:$F$4,0))</f>
        <v>2</v>
      </c>
      <c r="P327" s="2" t="s">
        <v>1211</v>
      </c>
      <c r="Q327" s="2"/>
      <c r="R327" s="151">
        <v>45261</v>
      </c>
      <c r="S327" s="151"/>
      <c r="T327" s="151"/>
      <c r="U327" s="151"/>
      <c r="V327" s="151"/>
      <c r="W327" s="2">
        <f>VLOOKUP(Table1[[#This Row],[Status]],Auxiliar!$B$16:$D$24,3,0)*Table1[[#This Row],[Estimação (horas)]]</f>
        <v>2</v>
      </c>
      <c r="X327" s="2"/>
    </row>
    <row r="328" spans="2:24" ht="17.7"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1188</v>
      </c>
      <c r="L328" s="28" t="s">
        <v>1185</v>
      </c>
      <c r="M328" s="20" t="s">
        <v>1194</v>
      </c>
      <c r="N328" s="47">
        <v>45485</v>
      </c>
      <c r="O328" s="20">
        <f>INDEX(Auxiliar!$D$5:$F$13,MATCH(Table1[[#This Row],[Tipologia_Testes]],Auxiliar!$B$5:$B$13,0),MATCH(Table1[[#This Row],[Complexidade]],Auxiliar!$D$4:$F$4,0))</f>
        <v>2</v>
      </c>
      <c r="P328" s="2" t="s">
        <v>1211</v>
      </c>
      <c r="Q328" s="2"/>
      <c r="R328" s="151">
        <v>45261</v>
      </c>
      <c r="S328" s="151"/>
      <c r="T328" s="151"/>
      <c r="U328" s="151"/>
      <c r="V328" s="151"/>
      <c r="W328" s="2">
        <f>VLOOKUP(Table1[[#This Row],[Status]],Auxiliar!$B$16:$D$24,3,0)*Table1[[#This Row],[Estimação (horas)]]</f>
        <v>2</v>
      </c>
      <c r="X328" s="2"/>
    </row>
    <row r="329" spans="2:24" ht="17.7"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1190</v>
      </c>
      <c r="L329" s="28" t="s">
        <v>1185</v>
      </c>
      <c r="M329" s="20" t="s">
        <v>1194</v>
      </c>
      <c r="N329" s="47">
        <v>45485</v>
      </c>
      <c r="O329" s="20">
        <f>INDEX(Auxiliar!$D$5:$F$13,MATCH(Table1[[#This Row],[Tipologia_Testes]],Auxiliar!$B$5:$B$13,0),MATCH(Table1[[#This Row],[Complexidade]],Auxiliar!$D$4:$F$4,0))</f>
        <v>0.1</v>
      </c>
      <c r="P329" s="2" t="s">
        <v>1211</v>
      </c>
      <c r="Q329" s="2"/>
      <c r="R329" s="151">
        <v>45261</v>
      </c>
      <c r="S329" s="151"/>
      <c r="T329" s="151"/>
      <c r="U329" s="151"/>
      <c r="V329" s="151"/>
      <c r="W329" s="2">
        <f>VLOOKUP(Table1[[#This Row],[Status]],Auxiliar!$B$16:$D$24,3,0)*Table1[[#This Row],[Estimação (horas)]]</f>
        <v>0.1</v>
      </c>
      <c r="X329" s="2"/>
    </row>
    <row r="330" spans="2:24" ht="17.7"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1187</v>
      </c>
      <c r="L330" s="28" t="s">
        <v>1185</v>
      </c>
      <c r="M330" s="20" t="s">
        <v>1194</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1188</v>
      </c>
      <c r="L331" s="28" t="s">
        <v>1185</v>
      </c>
      <c r="M331" s="20" t="s">
        <v>1194</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7"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1190</v>
      </c>
      <c r="L332" s="28" t="s">
        <v>1185</v>
      </c>
      <c r="M332" s="20" t="s">
        <v>1194</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7"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1187</v>
      </c>
      <c r="L333" s="28" t="s">
        <v>1185</v>
      </c>
      <c r="M333" s="20" t="s">
        <v>1194</v>
      </c>
      <c r="N333" s="47">
        <v>45485</v>
      </c>
      <c r="O333" s="20">
        <f>INDEX(Auxiliar!$D$5:$F$13,MATCH(Table1[[#This Row],[Tipologia_Testes]],Auxiliar!$B$5:$B$13,0),MATCH(Table1[[#This Row],[Complexidade]],Auxiliar!$D$4:$F$4,0))</f>
        <v>2</v>
      </c>
      <c r="P333" s="2" t="s">
        <v>1211</v>
      </c>
      <c r="Q333" s="2"/>
      <c r="R333" s="151">
        <v>45261</v>
      </c>
      <c r="S333" s="151"/>
      <c r="T333" s="151"/>
      <c r="U333" s="151"/>
      <c r="V333" s="151"/>
      <c r="W333" s="2">
        <f>VLOOKUP(Table1[[#This Row],[Status]],Auxiliar!$B$16:$D$24,3,0)*Table1[[#This Row],[Estimação (horas)]]</f>
        <v>2</v>
      </c>
      <c r="X333" s="2"/>
    </row>
    <row r="334" spans="2:24" ht="17.7"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1188</v>
      </c>
      <c r="L334" s="28" t="s">
        <v>1185</v>
      </c>
      <c r="M334" s="20" t="s">
        <v>1194</v>
      </c>
      <c r="N334" s="47">
        <v>45485</v>
      </c>
      <c r="O334" s="20">
        <f>INDEX(Auxiliar!$D$5:$F$13,MATCH(Table1[[#This Row],[Tipologia_Testes]],Auxiliar!$B$5:$B$13,0),MATCH(Table1[[#This Row],[Complexidade]],Auxiliar!$D$4:$F$4,0))</f>
        <v>2</v>
      </c>
      <c r="P334" s="2" t="s">
        <v>1211</v>
      </c>
      <c r="Q334" s="2"/>
      <c r="R334" s="151">
        <v>45261</v>
      </c>
      <c r="S334" s="151"/>
      <c r="T334" s="151"/>
      <c r="U334" s="151"/>
      <c r="V334" s="151"/>
      <c r="W334" s="2">
        <f>VLOOKUP(Table1[[#This Row],[Status]],Auxiliar!$B$16:$D$24,3,0)*Table1[[#This Row],[Estimação (horas)]]</f>
        <v>2</v>
      </c>
      <c r="X334" s="2"/>
    </row>
    <row r="335" spans="2:24" ht="17.7"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1190</v>
      </c>
      <c r="L335" s="28" t="s">
        <v>1185</v>
      </c>
      <c r="M335" s="20" t="s">
        <v>1194</v>
      </c>
      <c r="N335" s="47">
        <v>45485</v>
      </c>
      <c r="O335" s="20">
        <f>INDEX(Auxiliar!$D$5:$F$13,MATCH(Table1[[#This Row],[Tipologia_Testes]],Auxiliar!$B$5:$B$13,0),MATCH(Table1[[#This Row],[Complexidade]],Auxiliar!$D$4:$F$4,0))</f>
        <v>0.1</v>
      </c>
      <c r="P335" s="2" t="s">
        <v>1211</v>
      </c>
      <c r="Q335" s="2"/>
      <c r="R335" s="151">
        <v>45261</v>
      </c>
      <c r="S335" s="151"/>
      <c r="T335" s="151"/>
      <c r="U335" s="151"/>
      <c r="V335" s="151"/>
      <c r="W335" s="2">
        <f>VLOOKUP(Table1[[#This Row],[Status]],Auxiliar!$B$16:$D$24,3,0)*Table1[[#This Row],[Estimação (horas)]]</f>
        <v>0.1</v>
      </c>
      <c r="X335" s="2"/>
    </row>
    <row r="336" spans="2:24" ht="17.7"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1187</v>
      </c>
      <c r="L336" s="28" t="s">
        <v>1185</v>
      </c>
      <c r="M336" s="20" t="s">
        <v>1194</v>
      </c>
      <c r="N336" s="47">
        <v>45485</v>
      </c>
      <c r="O336" s="20">
        <f>INDEX(Auxiliar!$D$5:$F$13,MATCH(Table1[[#This Row],[Tipologia_Testes]],Auxiliar!$B$5:$B$13,0),MATCH(Table1[[#This Row],[Complexidade]],Auxiliar!$D$4:$F$4,0))</f>
        <v>2</v>
      </c>
      <c r="P336" s="2" t="s">
        <v>1211</v>
      </c>
      <c r="Q336" s="2"/>
      <c r="R336" s="151">
        <v>45261</v>
      </c>
      <c r="S336" s="151"/>
      <c r="T336" s="151"/>
      <c r="U336" s="151"/>
      <c r="V336" s="151"/>
      <c r="W336" s="2">
        <f>VLOOKUP(Table1[[#This Row],[Status]],Auxiliar!$B$16:$D$24,3,0)*Table1[[#This Row],[Estimação (horas)]]</f>
        <v>2</v>
      </c>
      <c r="X336" s="2"/>
    </row>
    <row r="337" spans="2:24" ht="17.7"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1188</v>
      </c>
      <c r="L337" s="28" t="s">
        <v>1185</v>
      </c>
      <c r="M337" s="20" t="s">
        <v>1194</v>
      </c>
      <c r="N337" s="47">
        <v>45485</v>
      </c>
      <c r="O337" s="20">
        <f>INDEX(Auxiliar!$D$5:$F$13,MATCH(Table1[[#This Row],[Tipologia_Testes]],Auxiliar!$B$5:$B$13,0),MATCH(Table1[[#This Row],[Complexidade]],Auxiliar!$D$4:$F$4,0))</f>
        <v>2</v>
      </c>
      <c r="P337" s="2" t="s">
        <v>1211</v>
      </c>
      <c r="Q337" s="2"/>
      <c r="R337" s="151">
        <v>45261</v>
      </c>
      <c r="S337" s="151"/>
      <c r="T337" s="151"/>
      <c r="U337" s="151"/>
      <c r="V337" s="151"/>
      <c r="W337" s="2">
        <f>VLOOKUP(Table1[[#This Row],[Status]],Auxiliar!$B$16:$D$24,3,0)*Table1[[#This Row],[Estimação (horas)]]</f>
        <v>2</v>
      </c>
      <c r="X337" s="2"/>
    </row>
    <row r="338" spans="2:24" ht="17.7"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1190</v>
      </c>
      <c r="L338" s="28" t="s">
        <v>1185</v>
      </c>
      <c r="M338" s="20" t="s">
        <v>1194</v>
      </c>
      <c r="N338" s="47">
        <v>45485</v>
      </c>
      <c r="O338" s="20">
        <f>INDEX(Auxiliar!$D$5:$F$13,MATCH(Table1[[#This Row],[Tipologia_Testes]],Auxiliar!$B$5:$B$13,0),MATCH(Table1[[#This Row],[Complexidade]],Auxiliar!$D$4:$F$4,0))</f>
        <v>0.1</v>
      </c>
      <c r="P338" s="2" t="s">
        <v>1211</v>
      </c>
      <c r="Q338" s="2"/>
      <c r="R338" s="151">
        <v>45261</v>
      </c>
      <c r="S338" s="151"/>
      <c r="T338" s="151"/>
      <c r="U338" s="151"/>
      <c r="V338" s="151"/>
      <c r="W338" s="2">
        <f>VLOOKUP(Table1[[#This Row],[Status]],Auxiliar!$B$16:$D$24,3,0)*Table1[[#This Row],[Estimação (horas)]]</f>
        <v>0.1</v>
      </c>
      <c r="X338" s="2"/>
    </row>
    <row r="339" spans="2:24" ht="17.7"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1187</v>
      </c>
      <c r="L339" s="28" t="s">
        <v>1185</v>
      </c>
      <c r="M339" s="20" t="s">
        <v>1194</v>
      </c>
      <c r="N339" s="47">
        <v>45485</v>
      </c>
      <c r="O339" s="20">
        <f>INDEX(Auxiliar!$D$5:$F$13,MATCH(Table1[[#This Row],[Tipologia_Testes]],Auxiliar!$B$5:$B$13,0),MATCH(Table1[[#This Row],[Complexidade]],Auxiliar!$D$4:$F$4,0))</f>
        <v>2</v>
      </c>
      <c r="P339" s="2" t="s">
        <v>1211</v>
      </c>
      <c r="Q339" s="2"/>
      <c r="R339" s="151">
        <v>45261</v>
      </c>
      <c r="S339" s="151"/>
      <c r="T339" s="151"/>
      <c r="U339" s="151"/>
      <c r="V339" s="151"/>
      <c r="W339" s="2">
        <f>VLOOKUP(Table1[[#This Row],[Status]],Auxiliar!$B$16:$D$24,3,0)*Table1[[#This Row],[Estimação (horas)]]</f>
        <v>2</v>
      </c>
      <c r="X339" s="2"/>
    </row>
    <row r="340" spans="2:24" ht="17.7"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1188</v>
      </c>
      <c r="L340" s="28" t="s">
        <v>1185</v>
      </c>
      <c r="M340" s="20" t="s">
        <v>1194</v>
      </c>
      <c r="N340" s="47">
        <v>45485</v>
      </c>
      <c r="O340" s="20">
        <f>INDEX(Auxiliar!$D$5:$F$13,MATCH(Table1[[#This Row],[Tipologia_Testes]],Auxiliar!$B$5:$B$13,0),MATCH(Table1[[#This Row],[Complexidade]],Auxiliar!$D$4:$F$4,0))</f>
        <v>2</v>
      </c>
      <c r="P340" s="2" t="s">
        <v>1211</v>
      </c>
      <c r="Q340" s="2"/>
      <c r="R340" s="151">
        <v>45261</v>
      </c>
      <c r="S340" s="151"/>
      <c r="T340" s="151"/>
      <c r="U340" s="151"/>
      <c r="V340" s="151"/>
      <c r="W340" s="2">
        <f>VLOOKUP(Table1[[#This Row],[Status]],Auxiliar!$B$16:$D$24,3,0)*Table1[[#This Row],[Estimação (horas)]]</f>
        <v>2</v>
      </c>
      <c r="X340" s="2"/>
    </row>
    <row r="341" spans="2:24" ht="17.7"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1190</v>
      </c>
      <c r="L341" s="28" t="s">
        <v>1185</v>
      </c>
      <c r="M341" s="20" t="s">
        <v>1194</v>
      </c>
      <c r="N341" s="47">
        <v>45485</v>
      </c>
      <c r="O341" s="20">
        <f>INDEX(Auxiliar!$D$5:$F$13,MATCH(Table1[[#This Row],[Tipologia_Testes]],Auxiliar!$B$5:$B$13,0),MATCH(Table1[[#This Row],[Complexidade]],Auxiliar!$D$4:$F$4,0))</f>
        <v>0.1</v>
      </c>
      <c r="P341" s="2" t="s">
        <v>1211</v>
      </c>
      <c r="Q341" s="2"/>
      <c r="R341" s="151">
        <v>45261</v>
      </c>
      <c r="S341" s="151"/>
      <c r="T341" s="151"/>
      <c r="U341" s="151"/>
      <c r="V341" s="151"/>
      <c r="W341" s="2">
        <f>VLOOKUP(Table1[[#This Row],[Status]],Auxiliar!$B$16:$D$24,3,0)*Table1[[#This Row],[Estimação (horas)]]</f>
        <v>0.1</v>
      </c>
      <c r="X341" s="2"/>
    </row>
    <row r="342" spans="2:24" ht="17.7"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1187</v>
      </c>
      <c r="L342" s="28" t="s">
        <v>1185</v>
      </c>
      <c r="M342" s="20" t="s">
        <v>1194</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1188</v>
      </c>
      <c r="L343" s="28" t="s">
        <v>1185</v>
      </c>
      <c r="M343" s="20" t="s">
        <v>1194</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7"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1190</v>
      </c>
      <c r="L344" s="28" t="s">
        <v>1185</v>
      </c>
      <c r="M344" s="20" t="s">
        <v>1194</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7"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1187</v>
      </c>
      <c r="L345" s="28" t="s">
        <v>1185</v>
      </c>
      <c r="M345" s="20" t="s">
        <v>1194</v>
      </c>
      <c r="N345" s="47">
        <v>45485</v>
      </c>
      <c r="O345" s="20">
        <f>INDEX(Auxiliar!$D$5:$F$13,MATCH(Table1[[#This Row],[Tipologia_Testes]],Auxiliar!$B$5:$B$13,0),MATCH(Table1[[#This Row],[Complexidade]],Auxiliar!$D$4:$F$4,0))</f>
        <v>2</v>
      </c>
      <c r="P345" s="2" t="s">
        <v>1211</v>
      </c>
      <c r="Q345" s="2"/>
      <c r="R345" s="151">
        <v>45261</v>
      </c>
      <c r="S345" s="151"/>
      <c r="T345" s="151"/>
      <c r="U345" s="151"/>
      <c r="V345" s="151"/>
      <c r="W345" s="2">
        <f>VLOOKUP(Table1[[#This Row],[Status]],Auxiliar!$B$16:$D$24,3,0)*Table1[[#This Row],[Estimação (horas)]]</f>
        <v>2</v>
      </c>
      <c r="X345" s="2"/>
    </row>
    <row r="346" spans="2:24" ht="17.7"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1188</v>
      </c>
      <c r="L346" s="28" t="s">
        <v>1185</v>
      </c>
      <c r="M346" s="20" t="s">
        <v>1194</v>
      </c>
      <c r="N346" s="47">
        <v>45485</v>
      </c>
      <c r="O346" s="20">
        <f>INDEX(Auxiliar!$D$5:$F$13,MATCH(Table1[[#This Row],[Tipologia_Testes]],Auxiliar!$B$5:$B$13,0),MATCH(Table1[[#This Row],[Complexidade]],Auxiliar!$D$4:$F$4,0))</f>
        <v>2</v>
      </c>
      <c r="P346" s="2" t="s">
        <v>1211</v>
      </c>
      <c r="Q346" s="2"/>
      <c r="R346" s="151">
        <v>45261</v>
      </c>
      <c r="S346" s="151"/>
      <c r="T346" s="151"/>
      <c r="U346" s="151"/>
      <c r="V346" s="151"/>
      <c r="W346" s="2">
        <f>VLOOKUP(Table1[[#This Row],[Status]],Auxiliar!$B$16:$D$24,3,0)*Table1[[#This Row],[Estimação (horas)]]</f>
        <v>2</v>
      </c>
      <c r="X346" s="2"/>
    </row>
    <row r="347" spans="2:24" ht="17.7"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1190</v>
      </c>
      <c r="L347" s="28" t="s">
        <v>1185</v>
      </c>
      <c r="M347" s="20" t="s">
        <v>1194</v>
      </c>
      <c r="N347" s="47">
        <v>45485</v>
      </c>
      <c r="O347" s="20">
        <f>INDEX(Auxiliar!$D$5:$F$13,MATCH(Table1[[#This Row],[Tipologia_Testes]],Auxiliar!$B$5:$B$13,0),MATCH(Table1[[#This Row],[Complexidade]],Auxiliar!$D$4:$F$4,0))</f>
        <v>0.1</v>
      </c>
      <c r="P347" s="2" t="s">
        <v>1211</v>
      </c>
      <c r="Q347" s="2"/>
      <c r="R347" s="151">
        <v>45261</v>
      </c>
      <c r="S347" s="151"/>
      <c r="T347" s="151"/>
      <c r="U347" s="151"/>
      <c r="V347" s="151"/>
      <c r="W347" s="2">
        <f>VLOOKUP(Table1[[#This Row],[Status]],Auxiliar!$B$16:$D$24,3,0)*Table1[[#This Row],[Estimação (horas)]]</f>
        <v>0.1</v>
      </c>
      <c r="X347" s="2"/>
    </row>
    <row r="348" spans="2:24" ht="17.7"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1187</v>
      </c>
      <c r="L348" s="28" t="s">
        <v>1185</v>
      </c>
      <c r="M348" s="20" t="s">
        <v>1194</v>
      </c>
      <c r="N348" s="47">
        <v>45485</v>
      </c>
      <c r="O348" s="20">
        <f>INDEX(Auxiliar!$D$5:$F$13,MATCH(Table1[[#This Row],[Tipologia_Testes]],Auxiliar!$B$5:$B$13,0),MATCH(Table1[[#This Row],[Complexidade]],Auxiliar!$D$4:$F$4,0))</f>
        <v>2</v>
      </c>
      <c r="P348" s="2" t="s">
        <v>1211</v>
      </c>
      <c r="Q348" s="2"/>
      <c r="R348" s="151">
        <v>45261</v>
      </c>
      <c r="S348" s="151"/>
      <c r="T348" s="151"/>
      <c r="U348" s="151"/>
      <c r="V348" s="151"/>
      <c r="W348" s="2">
        <f>VLOOKUP(Table1[[#This Row],[Status]],Auxiliar!$B$16:$D$24,3,0)*Table1[[#This Row],[Estimação (horas)]]</f>
        <v>2</v>
      </c>
      <c r="X348" s="2"/>
    </row>
    <row r="349" spans="2:24" ht="17.7"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1188</v>
      </c>
      <c r="L349" s="28" t="s">
        <v>1185</v>
      </c>
      <c r="M349" s="20" t="s">
        <v>1194</v>
      </c>
      <c r="N349" s="47">
        <v>45485</v>
      </c>
      <c r="O349" s="20">
        <f>INDEX(Auxiliar!$D$5:$F$13,MATCH(Table1[[#This Row],[Tipologia_Testes]],Auxiliar!$B$5:$B$13,0),MATCH(Table1[[#This Row],[Complexidade]],Auxiliar!$D$4:$F$4,0))</f>
        <v>2</v>
      </c>
      <c r="P349" s="2" t="s">
        <v>1211</v>
      </c>
      <c r="Q349" s="2"/>
      <c r="R349" s="151">
        <v>45261</v>
      </c>
      <c r="S349" s="151"/>
      <c r="T349" s="151"/>
      <c r="U349" s="151"/>
      <c r="V349" s="151"/>
      <c r="W349" s="2">
        <f>VLOOKUP(Table1[[#This Row],[Status]],Auxiliar!$B$16:$D$24,3,0)*Table1[[#This Row],[Estimação (horas)]]</f>
        <v>2</v>
      </c>
      <c r="X349" s="2"/>
    </row>
    <row r="350" spans="2:24" ht="17.7"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1190</v>
      </c>
      <c r="L350" s="28" t="s">
        <v>1185</v>
      </c>
      <c r="M350" s="20" t="s">
        <v>1194</v>
      </c>
      <c r="N350" s="47">
        <v>45485</v>
      </c>
      <c r="O350" s="20">
        <f>INDEX(Auxiliar!$D$5:$F$13,MATCH(Table1[[#This Row],[Tipologia_Testes]],Auxiliar!$B$5:$B$13,0),MATCH(Table1[[#This Row],[Complexidade]],Auxiliar!$D$4:$F$4,0))</f>
        <v>0.1</v>
      </c>
      <c r="P350" s="2" t="s">
        <v>1211</v>
      </c>
      <c r="Q350" s="2"/>
      <c r="R350" s="151">
        <v>45261</v>
      </c>
      <c r="S350" s="151"/>
      <c r="T350" s="151"/>
      <c r="U350" s="151"/>
      <c r="V350" s="151"/>
      <c r="W350" s="2">
        <f>VLOOKUP(Table1[[#This Row],[Status]],Auxiliar!$B$16:$D$24,3,0)*Table1[[#This Row],[Estimação (horas)]]</f>
        <v>0.1</v>
      </c>
      <c r="X350" s="2"/>
    </row>
    <row r="351" spans="2:24" ht="17.7"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1187</v>
      </c>
      <c r="L351" s="28" t="s">
        <v>1185</v>
      </c>
      <c r="M351" s="20" t="s">
        <v>1194</v>
      </c>
      <c r="N351" s="47">
        <v>45485</v>
      </c>
      <c r="O351" s="20">
        <f>INDEX(Auxiliar!$D$5:$F$13,MATCH(Table1[[#This Row],[Tipologia_Testes]],Auxiliar!$B$5:$B$13,0),MATCH(Table1[[#This Row],[Complexidade]],Auxiliar!$D$4:$F$4,0))</f>
        <v>2</v>
      </c>
      <c r="P351" s="2" t="s">
        <v>1211</v>
      </c>
      <c r="Q351" s="2"/>
      <c r="R351" s="151">
        <v>45261</v>
      </c>
      <c r="S351" s="151"/>
      <c r="T351" s="151"/>
      <c r="U351" s="151"/>
      <c r="V351" s="151"/>
      <c r="W351" s="2">
        <f>VLOOKUP(Table1[[#This Row],[Status]],Auxiliar!$B$16:$D$24,3,0)*Table1[[#This Row],[Estimação (horas)]]</f>
        <v>2</v>
      </c>
      <c r="X351" s="2"/>
    </row>
    <row r="352" spans="2:24" ht="17.7"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1188</v>
      </c>
      <c r="L352" s="28" t="s">
        <v>1185</v>
      </c>
      <c r="M352" s="20" t="s">
        <v>1194</v>
      </c>
      <c r="N352" s="47">
        <v>45485</v>
      </c>
      <c r="O352" s="20">
        <f>INDEX(Auxiliar!$D$5:$F$13,MATCH(Table1[[#This Row],[Tipologia_Testes]],Auxiliar!$B$5:$B$13,0),MATCH(Table1[[#This Row],[Complexidade]],Auxiliar!$D$4:$F$4,0))</f>
        <v>2</v>
      </c>
      <c r="P352" s="2" t="s">
        <v>1211</v>
      </c>
      <c r="Q352" s="2"/>
      <c r="R352" s="151">
        <v>45261</v>
      </c>
      <c r="S352" s="151"/>
      <c r="T352" s="151"/>
      <c r="U352" s="151"/>
      <c r="V352" s="151"/>
      <c r="W352" s="2">
        <f>VLOOKUP(Table1[[#This Row],[Status]],Auxiliar!$B$16:$D$24,3,0)*Table1[[#This Row],[Estimação (horas)]]</f>
        <v>2</v>
      </c>
      <c r="X352" s="2"/>
    </row>
    <row r="353" spans="2:24" ht="17.7"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1190</v>
      </c>
      <c r="L353" s="28" t="s">
        <v>1185</v>
      </c>
      <c r="M353" s="20" t="s">
        <v>1194</v>
      </c>
      <c r="N353" s="47">
        <v>45485</v>
      </c>
      <c r="O353" s="20">
        <f>INDEX(Auxiliar!$D$5:$F$13,MATCH(Table1[[#This Row],[Tipologia_Testes]],Auxiliar!$B$5:$B$13,0),MATCH(Table1[[#This Row],[Complexidade]],Auxiliar!$D$4:$F$4,0))</f>
        <v>0.1</v>
      </c>
      <c r="P353" s="2" t="s">
        <v>1211</v>
      </c>
      <c r="Q353" s="2"/>
      <c r="R353" s="151">
        <v>45261</v>
      </c>
      <c r="S353" s="151"/>
      <c r="T353" s="151"/>
      <c r="U353" s="151"/>
      <c r="V353" s="151"/>
      <c r="W353" s="2">
        <f>VLOOKUP(Table1[[#This Row],[Status]],Auxiliar!$B$16:$D$24,3,0)*Table1[[#This Row],[Estimação (horas)]]</f>
        <v>0.1</v>
      </c>
      <c r="X353" s="2"/>
    </row>
    <row r="354" spans="2:24" ht="17.7"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1187</v>
      </c>
      <c r="L354" s="28" t="s">
        <v>1185</v>
      </c>
      <c r="M354" s="20" t="s">
        <v>1194</v>
      </c>
      <c r="N354" s="47">
        <v>45485</v>
      </c>
      <c r="O354" s="20">
        <f>INDEX(Auxiliar!$D$5:$F$13,MATCH(Table1[[#This Row],[Tipologia_Testes]],Auxiliar!$B$5:$B$13,0),MATCH(Table1[[#This Row],[Complexidade]],Auxiliar!$D$4:$F$4,0))</f>
        <v>2</v>
      </c>
      <c r="P354" s="2" t="s">
        <v>1211</v>
      </c>
      <c r="Q354" s="2"/>
      <c r="R354" s="151">
        <v>45261</v>
      </c>
      <c r="S354" s="151"/>
      <c r="T354" s="151"/>
      <c r="U354" s="151"/>
      <c r="V354" s="151"/>
      <c r="W354" s="2">
        <f>VLOOKUP(Table1[[#This Row],[Status]],Auxiliar!$B$16:$D$24,3,0)*Table1[[#This Row],[Estimação (horas)]]</f>
        <v>2</v>
      </c>
      <c r="X354" s="2"/>
    </row>
    <row r="355" spans="2:24" ht="17.7"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1188</v>
      </c>
      <c r="L355" s="28" t="s">
        <v>1185</v>
      </c>
      <c r="M355" s="20" t="s">
        <v>1194</v>
      </c>
      <c r="N355" s="47">
        <v>45485</v>
      </c>
      <c r="O355" s="20">
        <f>INDEX(Auxiliar!$D$5:$F$13,MATCH(Table1[[#This Row],[Tipologia_Testes]],Auxiliar!$B$5:$B$13,0),MATCH(Table1[[#This Row],[Complexidade]],Auxiliar!$D$4:$F$4,0))</f>
        <v>2</v>
      </c>
      <c r="P355" s="2" t="s">
        <v>1211</v>
      </c>
      <c r="Q355" s="2"/>
      <c r="R355" s="151">
        <v>45261</v>
      </c>
      <c r="S355" s="151"/>
      <c r="T355" s="151"/>
      <c r="U355" s="151"/>
      <c r="V355" s="151"/>
      <c r="W355" s="2">
        <f>VLOOKUP(Table1[[#This Row],[Status]],Auxiliar!$B$16:$D$24,3,0)*Table1[[#This Row],[Estimação (horas)]]</f>
        <v>2</v>
      </c>
      <c r="X355" s="2"/>
    </row>
    <row r="356" spans="2:24" ht="17.7"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1190</v>
      </c>
      <c r="L356" s="28" t="s">
        <v>1185</v>
      </c>
      <c r="M356" s="20" t="s">
        <v>1194</v>
      </c>
      <c r="N356" s="47">
        <v>45485</v>
      </c>
      <c r="O356" s="20">
        <f>INDEX(Auxiliar!$D$5:$F$13,MATCH(Table1[[#This Row],[Tipologia_Testes]],Auxiliar!$B$5:$B$13,0),MATCH(Table1[[#This Row],[Complexidade]],Auxiliar!$D$4:$F$4,0))</f>
        <v>0.1</v>
      </c>
      <c r="P356" s="2" t="s">
        <v>1211</v>
      </c>
      <c r="Q356" s="2"/>
      <c r="R356" s="151">
        <v>45261</v>
      </c>
      <c r="S356" s="151"/>
      <c r="T356" s="151"/>
      <c r="U356" s="151"/>
      <c r="V356" s="151"/>
      <c r="W356" s="2">
        <f>VLOOKUP(Table1[[#This Row],[Status]],Auxiliar!$B$16:$D$24,3,0)*Table1[[#This Row],[Estimação (horas)]]</f>
        <v>0.1</v>
      </c>
      <c r="X356" s="2"/>
    </row>
    <row r="357" spans="2:24" ht="17.7"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1187</v>
      </c>
      <c r="L357" s="28" t="s">
        <v>1185</v>
      </c>
      <c r="M357" s="20" t="s">
        <v>1194</v>
      </c>
      <c r="N357" s="47">
        <v>45485</v>
      </c>
      <c r="O357" s="20">
        <f>INDEX(Auxiliar!$D$5:$F$13,MATCH(Table1[[#This Row],[Tipologia_Testes]],Auxiliar!$B$5:$B$13,0),MATCH(Table1[[#This Row],[Complexidade]],Auxiliar!$D$4:$F$4,0))</f>
        <v>2</v>
      </c>
      <c r="P357" s="2" t="s">
        <v>1211</v>
      </c>
      <c r="Q357" s="2"/>
      <c r="R357" s="151">
        <v>45261</v>
      </c>
      <c r="S357" s="151"/>
      <c r="T357" s="151"/>
      <c r="U357" s="151"/>
      <c r="V357" s="151"/>
      <c r="W357" s="2">
        <f>VLOOKUP(Table1[[#This Row],[Status]],Auxiliar!$B$16:$D$24,3,0)*Table1[[#This Row],[Estimação (horas)]]</f>
        <v>2</v>
      </c>
      <c r="X357" s="2"/>
    </row>
    <row r="358" spans="2:24" ht="17.7"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1188</v>
      </c>
      <c r="L358" s="28" t="s">
        <v>1185</v>
      </c>
      <c r="M358" s="20" t="s">
        <v>1194</v>
      </c>
      <c r="N358" s="47">
        <v>45485</v>
      </c>
      <c r="O358" s="20">
        <f>INDEX(Auxiliar!$D$5:$F$13,MATCH(Table1[[#This Row],[Tipologia_Testes]],Auxiliar!$B$5:$B$13,0),MATCH(Table1[[#This Row],[Complexidade]],Auxiliar!$D$4:$F$4,0))</f>
        <v>2</v>
      </c>
      <c r="P358" s="2" t="s">
        <v>1211</v>
      </c>
      <c r="Q358" s="2"/>
      <c r="R358" s="151">
        <v>45261</v>
      </c>
      <c r="S358" s="151"/>
      <c r="T358" s="151"/>
      <c r="U358" s="151"/>
      <c r="V358" s="151"/>
      <c r="W358" s="2">
        <f>VLOOKUP(Table1[[#This Row],[Status]],Auxiliar!$B$16:$D$24,3,0)*Table1[[#This Row],[Estimação (horas)]]</f>
        <v>2</v>
      </c>
      <c r="X358" s="2"/>
    </row>
    <row r="359" spans="2:24" ht="17.7"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1190</v>
      </c>
      <c r="L359" s="28" t="s">
        <v>1185</v>
      </c>
      <c r="M359" s="20" t="s">
        <v>1194</v>
      </c>
      <c r="N359" s="47">
        <v>45485</v>
      </c>
      <c r="O359" s="20">
        <f>INDEX(Auxiliar!$D$5:$F$13,MATCH(Table1[[#This Row],[Tipologia_Testes]],Auxiliar!$B$5:$B$13,0),MATCH(Table1[[#This Row],[Complexidade]],Auxiliar!$D$4:$F$4,0))</f>
        <v>0.1</v>
      </c>
      <c r="P359" s="2" t="s">
        <v>1211</v>
      </c>
      <c r="Q359" s="2"/>
      <c r="R359" s="151">
        <v>45261</v>
      </c>
      <c r="S359" s="151"/>
      <c r="T359" s="151"/>
      <c r="U359" s="151"/>
      <c r="V359" s="151"/>
      <c r="W359" s="2">
        <f>VLOOKUP(Table1[[#This Row],[Status]],Auxiliar!$B$16:$D$24,3,0)*Table1[[#This Row],[Estimação (horas)]]</f>
        <v>0.1</v>
      </c>
      <c r="X359" s="2"/>
    </row>
    <row r="360" spans="2:24" ht="17.7"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1187</v>
      </c>
      <c r="L360" s="28" t="s">
        <v>1185</v>
      </c>
      <c r="M360" s="20" t="s">
        <v>1194</v>
      </c>
      <c r="N360" s="47">
        <v>45485</v>
      </c>
      <c r="O360" s="20">
        <f>INDEX(Auxiliar!$D$5:$F$13,MATCH(Table1[[#This Row],[Tipologia_Testes]],Auxiliar!$B$5:$B$13,0),MATCH(Table1[[#This Row],[Complexidade]],Auxiliar!$D$4:$F$4,0))</f>
        <v>2</v>
      </c>
      <c r="P360" s="2" t="s">
        <v>1211</v>
      </c>
      <c r="Q360" s="2"/>
      <c r="R360" s="151">
        <v>45261</v>
      </c>
      <c r="S360" s="151"/>
      <c r="T360" s="151"/>
      <c r="U360" s="151"/>
      <c r="V360" s="151"/>
      <c r="W360" s="2">
        <f>VLOOKUP(Table1[[#This Row],[Status]],Auxiliar!$B$16:$D$24,3,0)*Table1[[#This Row],[Estimação (horas)]]</f>
        <v>2</v>
      </c>
      <c r="X360" s="2"/>
    </row>
    <row r="361" spans="2:24" ht="17.7"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1188</v>
      </c>
      <c r="L361" s="28" t="s">
        <v>1185</v>
      </c>
      <c r="M361" s="20" t="s">
        <v>1194</v>
      </c>
      <c r="N361" s="47">
        <v>45485</v>
      </c>
      <c r="O361" s="20">
        <f>INDEX(Auxiliar!$D$5:$F$13,MATCH(Table1[[#This Row],[Tipologia_Testes]],Auxiliar!$B$5:$B$13,0),MATCH(Table1[[#This Row],[Complexidade]],Auxiliar!$D$4:$F$4,0))</f>
        <v>2</v>
      </c>
      <c r="P361" s="2" t="s">
        <v>1211</v>
      </c>
      <c r="Q361" s="2"/>
      <c r="R361" s="151">
        <v>45261</v>
      </c>
      <c r="S361" s="151"/>
      <c r="T361" s="151"/>
      <c r="U361" s="151"/>
      <c r="V361" s="151"/>
      <c r="W361" s="2">
        <f>VLOOKUP(Table1[[#This Row],[Status]],Auxiliar!$B$16:$D$24,3,0)*Table1[[#This Row],[Estimação (horas)]]</f>
        <v>2</v>
      </c>
      <c r="X361" s="2"/>
    </row>
    <row r="362" spans="2:24" ht="17.7"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1190</v>
      </c>
      <c r="L362" s="28" t="s">
        <v>1185</v>
      </c>
      <c r="M362" s="20" t="s">
        <v>1194</v>
      </c>
      <c r="N362" s="47">
        <v>45485</v>
      </c>
      <c r="O362" s="20">
        <f>INDEX(Auxiliar!$D$5:$F$13,MATCH(Table1[[#This Row],[Tipologia_Testes]],Auxiliar!$B$5:$B$13,0),MATCH(Table1[[#This Row],[Complexidade]],Auxiliar!$D$4:$F$4,0))</f>
        <v>0.1</v>
      </c>
      <c r="P362" s="2" t="s">
        <v>1211</v>
      </c>
      <c r="Q362" s="2"/>
      <c r="R362" s="151">
        <v>45261</v>
      </c>
      <c r="S362" s="151"/>
      <c r="T362" s="151"/>
      <c r="U362" s="151"/>
      <c r="V362" s="151"/>
      <c r="W362" s="2">
        <f>VLOOKUP(Table1[[#This Row],[Status]],Auxiliar!$B$16:$D$24,3,0)*Table1[[#This Row],[Estimação (horas)]]</f>
        <v>0.1</v>
      </c>
      <c r="X362" s="2"/>
    </row>
    <row r="363" spans="2:24" ht="17.7"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1187</v>
      </c>
      <c r="L363" s="28" t="s">
        <v>1185</v>
      </c>
      <c r="M363" s="20" t="s">
        <v>1194</v>
      </c>
      <c r="N363" s="47">
        <v>45485</v>
      </c>
      <c r="O363" s="20">
        <f>INDEX(Auxiliar!$D$5:$F$13,MATCH(Table1[[#This Row],[Tipologia_Testes]],Auxiliar!$B$5:$B$13,0),MATCH(Table1[[#This Row],[Complexidade]],Auxiliar!$D$4:$F$4,0))</f>
        <v>2</v>
      </c>
      <c r="P363" s="2" t="s">
        <v>1211</v>
      </c>
      <c r="Q363" s="2"/>
      <c r="R363" s="151">
        <v>45261</v>
      </c>
      <c r="S363" s="151"/>
      <c r="T363" s="151"/>
      <c r="U363" s="151"/>
      <c r="V363" s="151"/>
      <c r="W363" s="2">
        <f>VLOOKUP(Table1[[#This Row],[Status]],Auxiliar!$B$16:$D$24,3,0)*Table1[[#This Row],[Estimação (horas)]]</f>
        <v>2</v>
      </c>
      <c r="X363" s="2"/>
    </row>
    <row r="364" spans="2:24" ht="17.7"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1188</v>
      </c>
      <c r="L364" s="28" t="s">
        <v>1185</v>
      </c>
      <c r="M364" s="20" t="s">
        <v>1194</v>
      </c>
      <c r="N364" s="47">
        <v>45485</v>
      </c>
      <c r="O364" s="20">
        <f>INDEX(Auxiliar!$D$5:$F$13,MATCH(Table1[[#This Row],[Tipologia_Testes]],Auxiliar!$B$5:$B$13,0),MATCH(Table1[[#This Row],[Complexidade]],Auxiliar!$D$4:$F$4,0))</f>
        <v>2</v>
      </c>
      <c r="P364" s="2" t="s">
        <v>1211</v>
      </c>
      <c r="Q364" s="2"/>
      <c r="R364" s="151">
        <v>45261</v>
      </c>
      <c r="S364" s="151"/>
      <c r="T364" s="151"/>
      <c r="U364" s="151"/>
      <c r="V364" s="151"/>
      <c r="W364" s="2">
        <f>VLOOKUP(Table1[[#This Row],[Status]],Auxiliar!$B$16:$D$24,3,0)*Table1[[#This Row],[Estimação (horas)]]</f>
        <v>2</v>
      </c>
      <c r="X364" s="2"/>
    </row>
    <row r="365" spans="2:24" ht="17.7"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1190</v>
      </c>
      <c r="L365" s="28" t="s">
        <v>1185</v>
      </c>
      <c r="M365" s="20" t="s">
        <v>1194</v>
      </c>
      <c r="N365" s="47">
        <v>45485</v>
      </c>
      <c r="O365" s="20">
        <f>INDEX(Auxiliar!$D$5:$F$13,MATCH(Table1[[#This Row],[Tipologia_Testes]],Auxiliar!$B$5:$B$13,0),MATCH(Table1[[#This Row],[Complexidade]],Auxiliar!$D$4:$F$4,0))</f>
        <v>0.1</v>
      </c>
      <c r="P365" s="2" t="s">
        <v>1211</v>
      </c>
      <c r="Q365" s="2"/>
      <c r="R365" s="151">
        <v>45261</v>
      </c>
      <c r="S365" s="151"/>
      <c r="T365" s="151"/>
      <c r="U365" s="151"/>
      <c r="V365" s="151"/>
      <c r="W365" s="2">
        <f>VLOOKUP(Table1[[#This Row],[Status]],Auxiliar!$B$16:$D$24,3,0)*Table1[[#This Row],[Estimação (horas)]]</f>
        <v>0.1</v>
      </c>
      <c r="X365" s="2"/>
    </row>
    <row r="366" spans="2:24" ht="17.7"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1187</v>
      </c>
      <c r="L366" s="28" t="s">
        <v>1185</v>
      </c>
      <c r="M366" s="20" t="s">
        <v>1194</v>
      </c>
      <c r="N366" s="47">
        <v>45485</v>
      </c>
      <c r="O366" s="20">
        <f>INDEX(Auxiliar!$D$5:$F$13,MATCH(Table1[[#This Row],[Tipologia_Testes]],Auxiliar!$B$5:$B$13,0),MATCH(Table1[[#This Row],[Complexidade]],Auxiliar!$D$4:$F$4,0))</f>
        <v>2</v>
      </c>
      <c r="P366" s="2" t="s">
        <v>1211</v>
      </c>
      <c r="Q366" s="2"/>
      <c r="R366" s="151">
        <v>45261</v>
      </c>
      <c r="S366" s="151"/>
      <c r="T366" s="151"/>
      <c r="U366" s="151"/>
      <c r="V366" s="151"/>
      <c r="W366" s="2">
        <f>VLOOKUP(Table1[[#This Row],[Status]],Auxiliar!$B$16:$D$24,3,0)*Table1[[#This Row],[Estimação (horas)]]</f>
        <v>2</v>
      </c>
      <c r="X366" s="2"/>
    </row>
    <row r="367" spans="2:24" ht="17.7"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1188</v>
      </c>
      <c r="L367" s="28" t="s">
        <v>1185</v>
      </c>
      <c r="M367" s="20" t="s">
        <v>1194</v>
      </c>
      <c r="N367" s="47">
        <v>45485</v>
      </c>
      <c r="O367" s="20">
        <f>INDEX(Auxiliar!$D$5:$F$13,MATCH(Table1[[#This Row],[Tipologia_Testes]],Auxiliar!$B$5:$B$13,0),MATCH(Table1[[#This Row],[Complexidade]],Auxiliar!$D$4:$F$4,0))</f>
        <v>2</v>
      </c>
      <c r="P367" s="2" t="s">
        <v>1211</v>
      </c>
      <c r="Q367" s="2"/>
      <c r="R367" s="151">
        <v>45261</v>
      </c>
      <c r="S367" s="151"/>
      <c r="T367" s="151"/>
      <c r="U367" s="151"/>
      <c r="V367" s="151"/>
      <c r="W367" s="2">
        <f>VLOOKUP(Table1[[#This Row],[Status]],Auxiliar!$B$16:$D$24,3,0)*Table1[[#This Row],[Estimação (horas)]]</f>
        <v>2</v>
      </c>
      <c r="X367" s="2"/>
    </row>
    <row r="368" spans="2:24" ht="17.7"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1190</v>
      </c>
      <c r="L368" s="28" t="s">
        <v>1185</v>
      </c>
      <c r="M368" s="20" t="s">
        <v>1194</v>
      </c>
      <c r="N368" s="47">
        <v>45485</v>
      </c>
      <c r="O368" s="20">
        <f>INDEX(Auxiliar!$D$5:$F$13,MATCH(Table1[[#This Row],[Tipologia_Testes]],Auxiliar!$B$5:$B$13,0),MATCH(Table1[[#This Row],[Complexidade]],Auxiliar!$D$4:$F$4,0))</f>
        <v>0.1</v>
      </c>
      <c r="P368" s="2" t="s">
        <v>1211</v>
      </c>
      <c r="Q368" s="2"/>
      <c r="R368" s="151">
        <v>45261</v>
      </c>
      <c r="S368" s="151"/>
      <c r="T368" s="151"/>
      <c r="U368" s="151"/>
      <c r="V368" s="151"/>
      <c r="W368" s="2">
        <f>VLOOKUP(Table1[[#This Row],[Status]],Auxiliar!$B$16:$D$24,3,0)*Table1[[#This Row],[Estimação (horas)]]</f>
        <v>0.1</v>
      </c>
      <c r="X368" s="2"/>
    </row>
    <row r="369" spans="2:24" ht="17.7"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1187</v>
      </c>
      <c r="L369" s="28" t="s">
        <v>1185</v>
      </c>
      <c r="M369" s="20" t="s">
        <v>1194</v>
      </c>
      <c r="N369" s="47">
        <v>45485</v>
      </c>
      <c r="O369" s="20">
        <f>INDEX(Auxiliar!$D$5:$F$13,MATCH(Table1[[#This Row],[Tipologia_Testes]],Auxiliar!$B$5:$B$13,0),MATCH(Table1[[#This Row],[Complexidade]],Auxiliar!$D$4:$F$4,0))</f>
        <v>2</v>
      </c>
      <c r="P369" s="2" t="s">
        <v>1211</v>
      </c>
      <c r="Q369" s="2"/>
      <c r="R369" s="151">
        <v>45261</v>
      </c>
      <c r="S369" s="151"/>
      <c r="T369" s="151"/>
      <c r="U369" s="151"/>
      <c r="V369" s="151"/>
      <c r="W369" s="2">
        <f>VLOOKUP(Table1[[#This Row],[Status]],Auxiliar!$B$16:$D$24,3,0)*Table1[[#This Row],[Estimação (horas)]]</f>
        <v>2</v>
      </c>
      <c r="X369" s="2"/>
    </row>
    <row r="370" spans="2:24" ht="17.7"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1188</v>
      </c>
      <c r="L370" s="28" t="s">
        <v>1185</v>
      </c>
      <c r="M370" s="20" t="s">
        <v>1194</v>
      </c>
      <c r="N370" s="47">
        <v>45485</v>
      </c>
      <c r="O370" s="20">
        <f>INDEX(Auxiliar!$D$5:$F$13,MATCH(Table1[[#This Row],[Tipologia_Testes]],Auxiliar!$B$5:$B$13,0),MATCH(Table1[[#This Row],[Complexidade]],Auxiliar!$D$4:$F$4,0))</f>
        <v>2</v>
      </c>
      <c r="P370" s="2" t="s">
        <v>1211</v>
      </c>
      <c r="Q370" s="2"/>
      <c r="R370" s="151">
        <v>45261</v>
      </c>
      <c r="S370" s="151"/>
      <c r="T370" s="151"/>
      <c r="U370" s="151"/>
      <c r="V370" s="151"/>
      <c r="W370" s="2">
        <f>VLOOKUP(Table1[[#This Row],[Status]],Auxiliar!$B$16:$D$24,3,0)*Table1[[#This Row],[Estimação (horas)]]</f>
        <v>2</v>
      </c>
      <c r="X370" s="2"/>
    </row>
    <row r="371" spans="2:24" ht="17.7"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1190</v>
      </c>
      <c r="L371" s="28" t="s">
        <v>1185</v>
      </c>
      <c r="M371" s="20" t="s">
        <v>1194</v>
      </c>
      <c r="N371" s="47">
        <v>45485</v>
      </c>
      <c r="O371" s="20">
        <f>INDEX(Auxiliar!$D$5:$F$13,MATCH(Table1[[#This Row],[Tipologia_Testes]],Auxiliar!$B$5:$B$13,0),MATCH(Table1[[#This Row],[Complexidade]],Auxiliar!$D$4:$F$4,0))</f>
        <v>0.1</v>
      </c>
      <c r="P371" s="2" t="s">
        <v>1211</v>
      </c>
      <c r="Q371" s="2"/>
      <c r="R371" s="151">
        <v>45261</v>
      </c>
      <c r="S371" s="151"/>
      <c r="T371" s="151"/>
      <c r="U371" s="151"/>
      <c r="V371" s="151"/>
      <c r="W371" s="2">
        <f>VLOOKUP(Table1[[#This Row],[Status]],Auxiliar!$B$16:$D$24,3,0)*Table1[[#This Row],[Estimação (horas)]]</f>
        <v>0.1</v>
      </c>
      <c r="X371" s="2"/>
    </row>
    <row r="372" spans="2:24" ht="17.7"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1187</v>
      </c>
      <c r="L372" s="28" t="s">
        <v>1185</v>
      </c>
      <c r="M372" s="20" t="s">
        <v>1194</v>
      </c>
      <c r="N372" s="47">
        <v>45485</v>
      </c>
      <c r="O372" s="20">
        <f>INDEX(Auxiliar!$D$5:$F$13,MATCH(Table1[[#This Row],[Tipologia_Testes]],Auxiliar!$B$5:$B$13,0),MATCH(Table1[[#This Row],[Complexidade]],Auxiliar!$D$4:$F$4,0))</f>
        <v>2</v>
      </c>
      <c r="P372" s="2" t="s">
        <v>1211</v>
      </c>
      <c r="Q372" s="2"/>
      <c r="R372" s="151">
        <v>45261</v>
      </c>
      <c r="S372" s="151"/>
      <c r="T372" s="151"/>
      <c r="U372" s="151"/>
      <c r="V372" s="151"/>
      <c r="W372" s="2">
        <f>VLOOKUP(Table1[[#This Row],[Status]],Auxiliar!$B$16:$D$24,3,0)*Table1[[#This Row],[Estimação (horas)]]</f>
        <v>2</v>
      </c>
      <c r="X372" s="2"/>
    </row>
    <row r="373" spans="2:24" ht="17.7"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1188</v>
      </c>
      <c r="L373" s="28" t="s">
        <v>1185</v>
      </c>
      <c r="M373" s="20" t="s">
        <v>1194</v>
      </c>
      <c r="N373" s="47">
        <v>45485</v>
      </c>
      <c r="O373" s="20">
        <f>INDEX(Auxiliar!$D$5:$F$13,MATCH(Table1[[#This Row],[Tipologia_Testes]],Auxiliar!$B$5:$B$13,0),MATCH(Table1[[#This Row],[Complexidade]],Auxiliar!$D$4:$F$4,0))</f>
        <v>2</v>
      </c>
      <c r="P373" s="2" t="s">
        <v>1211</v>
      </c>
      <c r="Q373" s="2"/>
      <c r="R373" s="151">
        <v>45261</v>
      </c>
      <c r="S373" s="151"/>
      <c r="T373" s="151"/>
      <c r="U373" s="151"/>
      <c r="V373" s="151"/>
      <c r="W373" s="2">
        <f>VLOOKUP(Table1[[#This Row],[Status]],Auxiliar!$B$16:$D$24,3,0)*Table1[[#This Row],[Estimação (horas)]]</f>
        <v>2</v>
      </c>
      <c r="X373" s="2"/>
    </row>
    <row r="374" spans="2:24" ht="17.7"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1190</v>
      </c>
      <c r="L374" s="28" t="s">
        <v>1185</v>
      </c>
      <c r="M374" s="20" t="s">
        <v>1194</v>
      </c>
      <c r="N374" s="47">
        <v>45485</v>
      </c>
      <c r="O374" s="20">
        <f>INDEX(Auxiliar!$D$5:$F$13,MATCH(Table1[[#This Row],[Tipologia_Testes]],Auxiliar!$B$5:$B$13,0),MATCH(Table1[[#This Row],[Complexidade]],Auxiliar!$D$4:$F$4,0))</f>
        <v>0.1</v>
      </c>
      <c r="P374" s="2" t="s">
        <v>1211</v>
      </c>
      <c r="Q374" s="2"/>
      <c r="R374" s="151">
        <v>45261</v>
      </c>
      <c r="S374" s="151"/>
      <c r="T374" s="151"/>
      <c r="U374" s="151"/>
      <c r="V374" s="151"/>
      <c r="W374" s="2">
        <f>VLOOKUP(Table1[[#This Row],[Status]],Auxiliar!$B$16:$D$24,3,0)*Table1[[#This Row],[Estimação (horas)]]</f>
        <v>0.1</v>
      </c>
      <c r="X374" s="2"/>
    </row>
    <row r="375" spans="2:24" ht="17.7"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1187</v>
      </c>
      <c r="L375" s="28" t="s">
        <v>1185</v>
      </c>
      <c r="M375" s="20" t="s">
        <v>1194</v>
      </c>
      <c r="N375" s="47">
        <v>45485</v>
      </c>
      <c r="O375" s="20">
        <f>INDEX(Auxiliar!$D$5:$F$13,MATCH(Table1[[#This Row],[Tipologia_Testes]],Auxiliar!$B$5:$B$13,0),MATCH(Table1[[#This Row],[Complexidade]],Auxiliar!$D$4:$F$4,0))</f>
        <v>2</v>
      </c>
      <c r="P375" s="2" t="s">
        <v>1211</v>
      </c>
      <c r="Q375" s="2"/>
      <c r="R375" s="151">
        <v>45261</v>
      </c>
      <c r="S375" s="151"/>
      <c r="T375" s="151"/>
      <c r="U375" s="151"/>
      <c r="V375" s="151"/>
      <c r="W375" s="2">
        <f>VLOOKUP(Table1[[#This Row],[Status]],Auxiliar!$B$16:$D$24,3,0)*Table1[[#This Row],[Estimação (horas)]]</f>
        <v>2</v>
      </c>
      <c r="X375" s="2"/>
    </row>
    <row r="376" spans="2:24" ht="17.7"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1188</v>
      </c>
      <c r="L376" s="28" t="s">
        <v>1185</v>
      </c>
      <c r="M376" s="20" t="s">
        <v>1194</v>
      </c>
      <c r="N376" s="47">
        <v>45485</v>
      </c>
      <c r="O376" s="20">
        <f>INDEX(Auxiliar!$D$5:$F$13,MATCH(Table1[[#This Row],[Tipologia_Testes]],Auxiliar!$B$5:$B$13,0),MATCH(Table1[[#This Row],[Complexidade]],Auxiliar!$D$4:$F$4,0))</f>
        <v>2</v>
      </c>
      <c r="P376" s="2" t="s">
        <v>1211</v>
      </c>
      <c r="Q376" s="2"/>
      <c r="R376" s="151">
        <v>45261</v>
      </c>
      <c r="S376" s="151"/>
      <c r="T376" s="151"/>
      <c r="U376" s="151"/>
      <c r="V376" s="151"/>
      <c r="W376" s="2">
        <f>VLOOKUP(Table1[[#This Row],[Status]],Auxiliar!$B$16:$D$24,3,0)*Table1[[#This Row],[Estimação (horas)]]</f>
        <v>2</v>
      </c>
      <c r="X376" s="2"/>
    </row>
    <row r="377" spans="2:24" ht="17.7"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1190</v>
      </c>
      <c r="L377" s="28" t="s">
        <v>1185</v>
      </c>
      <c r="M377" s="20" t="s">
        <v>1194</v>
      </c>
      <c r="N377" s="47">
        <v>45485</v>
      </c>
      <c r="O377" s="20">
        <f>INDEX(Auxiliar!$D$5:$F$13,MATCH(Table1[[#This Row],[Tipologia_Testes]],Auxiliar!$B$5:$B$13,0),MATCH(Table1[[#This Row],[Complexidade]],Auxiliar!$D$4:$F$4,0))</f>
        <v>0.1</v>
      </c>
      <c r="P377" s="2" t="s">
        <v>1211</v>
      </c>
      <c r="Q377" s="2"/>
      <c r="R377" s="151">
        <v>45261</v>
      </c>
      <c r="S377" s="151"/>
      <c r="T377" s="151"/>
      <c r="U377" s="151"/>
      <c r="V377" s="151"/>
      <c r="W377" s="2">
        <f>VLOOKUP(Table1[[#This Row],[Status]],Auxiliar!$B$16:$D$24,3,0)*Table1[[#This Row],[Estimação (horas)]]</f>
        <v>0.1</v>
      </c>
      <c r="X377" s="2"/>
    </row>
    <row r="378" spans="2:24" ht="17.7"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1187</v>
      </c>
      <c r="L378" s="28" t="s">
        <v>1185</v>
      </c>
      <c r="M378" s="20" t="s">
        <v>1194</v>
      </c>
      <c r="N378" s="47">
        <v>45485</v>
      </c>
      <c r="O378" s="20">
        <f>INDEX(Auxiliar!$D$5:$F$13,MATCH(Table1[[#This Row],[Tipologia_Testes]],Auxiliar!$B$5:$B$13,0),MATCH(Table1[[#This Row],[Complexidade]],Auxiliar!$D$4:$F$4,0))</f>
        <v>2</v>
      </c>
      <c r="P378" s="2" t="s">
        <v>1211</v>
      </c>
      <c r="Q378" s="2"/>
      <c r="R378" s="151">
        <v>45261</v>
      </c>
      <c r="S378" s="151"/>
      <c r="T378" s="151"/>
      <c r="U378" s="151"/>
      <c r="V378" s="151"/>
      <c r="W378" s="2">
        <f>VLOOKUP(Table1[[#This Row],[Status]],Auxiliar!$B$16:$D$24,3,0)*Table1[[#This Row],[Estimação (horas)]]</f>
        <v>2</v>
      </c>
      <c r="X378" s="2"/>
    </row>
    <row r="379" spans="2:24" ht="17.7"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1188</v>
      </c>
      <c r="L379" s="28" t="s">
        <v>1185</v>
      </c>
      <c r="M379" s="20" t="s">
        <v>1194</v>
      </c>
      <c r="N379" s="47">
        <v>45485</v>
      </c>
      <c r="O379" s="20">
        <f>INDEX(Auxiliar!$D$5:$F$13,MATCH(Table1[[#This Row],[Tipologia_Testes]],Auxiliar!$B$5:$B$13,0),MATCH(Table1[[#This Row],[Complexidade]],Auxiliar!$D$4:$F$4,0))</f>
        <v>2</v>
      </c>
      <c r="P379" s="2" t="s">
        <v>1211</v>
      </c>
      <c r="Q379" s="2"/>
      <c r="R379" s="151">
        <v>45261</v>
      </c>
      <c r="S379" s="151"/>
      <c r="T379" s="151"/>
      <c r="U379" s="151"/>
      <c r="V379" s="151"/>
      <c r="W379" s="2">
        <f>VLOOKUP(Table1[[#This Row],[Status]],Auxiliar!$B$16:$D$24,3,0)*Table1[[#This Row],[Estimação (horas)]]</f>
        <v>2</v>
      </c>
      <c r="X379" s="2"/>
    </row>
    <row r="380" spans="2:24" ht="17.7"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1190</v>
      </c>
      <c r="L380" s="28" t="s">
        <v>1185</v>
      </c>
      <c r="M380" s="20" t="s">
        <v>1194</v>
      </c>
      <c r="N380" s="47">
        <v>45485</v>
      </c>
      <c r="O380" s="20">
        <f>INDEX(Auxiliar!$D$5:$F$13,MATCH(Table1[[#This Row],[Tipologia_Testes]],Auxiliar!$B$5:$B$13,0),MATCH(Table1[[#This Row],[Complexidade]],Auxiliar!$D$4:$F$4,0))</f>
        <v>0.1</v>
      </c>
      <c r="P380" s="2" t="s">
        <v>1211</v>
      </c>
      <c r="Q380" s="2"/>
      <c r="R380" s="151">
        <v>45261</v>
      </c>
      <c r="S380" s="151"/>
      <c r="T380" s="151"/>
      <c r="U380" s="151"/>
      <c r="V380" s="151"/>
      <c r="W380" s="2">
        <f>VLOOKUP(Table1[[#This Row],[Status]],Auxiliar!$B$16:$D$24,3,0)*Table1[[#This Row],[Estimação (horas)]]</f>
        <v>0.1</v>
      </c>
      <c r="X380" s="2"/>
    </row>
    <row r="381" spans="2:24" ht="17.7"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1187</v>
      </c>
      <c r="L381" s="28" t="s">
        <v>1185</v>
      </c>
      <c r="M381" s="20" t="s">
        <v>1194</v>
      </c>
      <c r="N381" s="47">
        <v>45485</v>
      </c>
      <c r="O381" s="20">
        <f>INDEX(Auxiliar!$D$5:$F$13,MATCH(Table1[[#This Row],[Tipologia_Testes]],Auxiliar!$B$5:$B$13,0),MATCH(Table1[[#This Row],[Complexidade]],Auxiliar!$D$4:$F$4,0))</f>
        <v>2</v>
      </c>
      <c r="P381" s="2" t="s">
        <v>1211</v>
      </c>
      <c r="Q381" s="2"/>
      <c r="R381" s="151">
        <v>45261</v>
      </c>
      <c r="S381" s="151"/>
      <c r="T381" s="151"/>
      <c r="U381" s="151"/>
      <c r="V381" s="151"/>
      <c r="W381" s="2">
        <f>VLOOKUP(Table1[[#This Row],[Status]],Auxiliar!$B$16:$D$24,3,0)*Table1[[#This Row],[Estimação (horas)]]</f>
        <v>2</v>
      </c>
      <c r="X381" s="2"/>
    </row>
    <row r="382" spans="2:24" ht="17.7"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1188</v>
      </c>
      <c r="L382" s="28" t="s">
        <v>1185</v>
      </c>
      <c r="M382" s="20" t="s">
        <v>1194</v>
      </c>
      <c r="N382" s="47">
        <v>45485</v>
      </c>
      <c r="O382" s="20">
        <f>INDEX(Auxiliar!$D$5:$F$13,MATCH(Table1[[#This Row],[Tipologia_Testes]],Auxiliar!$B$5:$B$13,0),MATCH(Table1[[#This Row],[Complexidade]],Auxiliar!$D$4:$F$4,0))</f>
        <v>2</v>
      </c>
      <c r="P382" s="2" t="s">
        <v>1211</v>
      </c>
      <c r="Q382" s="2"/>
      <c r="R382" s="151">
        <v>45261</v>
      </c>
      <c r="S382" s="151"/>
      <c r="T382" s="151"/>
      <c r="U382" s="151"/>
      <c r="V382" s="151"/>
      <c r="W382" s="2">
        <f>VLOOKUP(Table1[[#This Row],[Status]],Auxiliar!$B$16:$D$24,3,0)*Table1[[#This Row],[Estimação (horas)]]</f>
        <v>2</v>
      </c>
      <c r="X382" s="2"/>
    </row>
    <row r="383" spans="2:24" ht="17.7"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1190</v>
      </c>
      <c r="L383" s="28" t="s">
        <v>1185</v>
      </c>
      <c r="M383" s="20" t="s">
        <v>1194</v>
      </c>
      <c r="N383" s="47">
        <v>45485</v>
      </c>
      <c r="O383" s="20">
        <f>INDEX(Auxiliar!$D$5:$F$13,MATCH(Table1[[#This Row],[Tipologia_Testes]],Auxiliar!$B$5:$B$13,0),MATCH(Table1[[#This Row],[Complexidade]],Auxiliar!$D$4:$F$4,0))</f>
        <v>0.1</v>
      </c>
      <c r="P383" s="2" t="s">
        <v>1211</v>
      </c>
      <c r="Q383" s="2"/>
      <c r="R383" s="151">
        <v>45261</v>
      </c>
      <c r="S383" s="151"/>
      <c r="T383" s="151"/>
      <c r="U383" s="151"/>
      <c r="V383" s="151"/>
      <c r="W383" s="2">
        <f>VLOOKUP(Table1[[#This Row],[Status]],Auxiliar!$B$16:$D$24,3,0)*Table1[[#This Row],[Estimação (horas)]]</f>
        <v>0.1</v>
      </c>
      <c r="X383" s="2"/>
    </row>
    <row r="384" spans="2:24" ht="17.7"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1187</v>
      </c>
      <c r="L384" s="28" t="s">
        <v>1185</v>
      </c>
      <c r="M384" s="20" t="s">
        <v>1194</v>
      </c>
      <c r="N384" s="47">
        <v>45485</v>
      </c>
      <c r="O384" s="20">
        <f>INDEX(Auxiliar!$D$5:$F$13,MATCH(Table1[[#This Row],[Tipologia_Testes]],Auxiliar!$B$5:$B$13,0),MATCH(Table1[[#This Row],[Complexidade]],Auxiliar!$D$4:$F$4,0))</f>
        <v>2</v>
      </c>
      <c r="P384" s="2" t="s">
        <v>1211</v>
      </c>
      <c r="Q384" s="2"/>
      <c r="R384" s="151">
        <v>45261</v>
      </c>
      <c r="S384" s="151"/>
      <c r="T384" s="151"/>
      <c r="U384" s="151"/>
      <c r="V384" s="151"/>
      <c r="W384" s="2">
        <f>VLOOKUP(Table1[[#This Row],[Status]],Auxiliar!$B$16:$D$24,3,0)*Table1[[#This Row],[Estimação (horas)]]</f>
        <v>2</v>
      </c>
      <c r="X384" s="2"/>
    </row>
    <row r="385" spans="2:24" ht="17.7"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1188</v>
      </c>
      <c r="L385" s="28" t="s">
        <v>1185</v>
      </c>
      <c r="M385" s="20" t="s">
        <v>1194</v>
      </c>
      <c r="N385" s="47">
        <v>45485</v>
      </c>
      <c r="O385" s="20">
        <f>INDEX(Auxiliar!$D$5:$F$13,MATCH(Table1[[#This Row],[Tipologia_Testes]],Auxiliar!$B$5:$B$13,0),MATCH(Table1[[#This Row],[Complexidade]],Auxiliar!$D$4:$F$4,0))</f>
        <v>2</v>
      </c>
      <c r="P385" s="2" t="s">
        <v>1211</v>
      </c>
      <c r="Q385" s="2"/>
      <c r="R385" s="151">
        <v>45261</v>
      </c>
      <c r="S385" s="151"/>
      <c r="T385" s="151"/>
      <c r="U385" s="151"/>
      <c r="V385" s="151"/>
      <c r="W385" s="2">
        <f>VLOOKUP(Table1[[#This Row],[Status]],Auxiliar!$B$16:$D$24,3,0)*Table1[[#This Row],[Estimação (horas)]]</f>
        <v>2</v>
      </c>
      <c r="X385" s="2"/>
    </row>
    <row r="386" spans="2:24" ht="17.7"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1190</v>
      </c>
      <c r="L386" s="28" t="s">
        <v>1185</v>
      </c>
      <c r="M386" s="20" t="s">
        <v>1194</v>
      </c>
      <c r="N386" s="47">
        <v>45485</v>
      </c>
      <c r="O386" s="20">
        <f>INDEX(Auxiliar!$D$5:$F$13,MATCH(Table1[[#This Row],[Tipologia_Testes]],Auxiliar!$B$5:$B$13,0),MATCH(Table1[[#This Row],[Complexidade]],Auxiliar!$D$4:$F$4,0))</f>
        <v>0.1</v>
      </c>
      <c r="P386" s="2" t="s">
        <v>1211</v>
      </c>
      <c r="Q386" s="2"/>
      <c r="R386" s="151">
        <v>45261</v>
      </c>
      <c r="S386" s="151"/>
      <c r="T386" s="151"/>
      <c r="U386" s="151"/>
      <c r="V386" s="151"/>
      <c r="W386" s="2">
        <f>VLOOKUP(Table1[[#This Row],[Status]],Auxiliar!$B$16:$D$24,3,0)*Table1[[#This Row],[Estimação (horas)]]</f>
        <v>0.1</v>
      </c>
      <c r="X386" s="2"/>
    </row>
    <row r="387" spans="2:24" ht="17.7"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1187</v>
      </c>
      <c r="L387" s="28" t="s">
        <v>1185</v>
      </c>
      <c r="M387" s="20" t="s">
        <v>1194</v>
      </c>
      <c r="N387" s="47">
        <v>45485</v>
      </c>
      <c r="O387" s="20">
        <f>INDEX(Auxiliar!$D$5:$F$13,MATCH(Table1[[#This Row],[Tipologia_Testes]],Auxiliar!$B$5:$B$13,0),MATCH(Table1[[#This Row],[Complexidade]],Auxiliar!$D$4:$F$4,0))</f>
        <v>2</v>
      </c>
      <c r="P387" s="2" t="s">
        <v>1211</v>
      </c>
      <c r="Q387" s="2"/>
      <c r="R387" s="151">
        <v>45261</v>
      </c>
      <c r="S387" s="151"/>
      <c r="T387" s="151"/>
      <c r="U387" s="151"/>
      <c r="V387" s="151"/>
      <c r="W387" s="2">
        <f>VLOOKUP(Table1[[#This Row],[Status]],Auxiliar!$B$16:$D$24,3,0)*Table1[[#This Row],[Estimação (horas)]]</f>
        <v>2</v>
      </c>
      <c r="X387" s="2"/>
    </row>
    <row r="388" spans="2:24" ht="17.7"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1188</v>
      </c>
      <c r="L388" s="28" t="s">
        <v>1185</v>
      </c>
      <c r="M388" s="20" t="s">
        <v>1194</v>
      </c>
      <c r="N388" s="47">
        <v>45485</v>
      </c>
      <c r="O388" s="20">
        <f>INDEX(Auxiliar!$D$5:$F$13,MATCH(Table1[[#This Row],[Tipologia_Testes]],Auxiliar!$B$5:$B$13,0),MATCH(Table1[[#This Row],[Complexidade]],Auxiliar!$D$4:$F$4,0))</f>
        <v>2</v>
      </c>
      <c r="P388" s="2" t="s">
        <v>1211</v>
      </c>
      <c r="Q388" s="2"/>
      <c r="R388" s="151"/>
      <c r="S388" s="151"/>
      <c r="T388" s="151"/>
      <c r="U388" s="151"/>
      <c r="V388" s="151"/>
      <c r="W388" s="2">
        <f>VLOOKUP(Table1[[#This Row],[Status]],Auxiliar!$B$16:$D$24,3,0)*Table1[[#This Row],[Estimação (horas)]]</f>
        <v>2</v>
      </c>
      <c r="X388" s="2"/>
    </row>
    <row r="389" spans="2:24" ht="17.7"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1190</v>
      </c>
      <c r="L389" s="28" t="s">
        <v>1185</v>
      </c>
      <c r="M389" s="20" t="s">
        <v>1194</v>
      </c>
      <c r="N389" s="47">
        <v>45485</v>
      </c>
      <c r="O389" s="20">
        <f>INDEX(Auxiliar!$D$5:$F$13,MATCH(Table1[[#This Row],[Tipologia_Testes]],Auxiliar!$B$5:$B$13,0),MATCH(Table1[[#This Row],[Complexidade]],Auxiliar!$D$4:$F$4,0))</f>
        <v>0.1</v>
      </c>
      <c r="P389" s="2" t="s">
        <v>1211</v>
      </c>
      <c r="Q389" s="2"/>
      <c r="R389" s="151"/>
      <c r="S389" s="151"/>
      <c r="T389" s="151"/>
      <c r="U389" s="151"/>
      <c r="V389" s="151"/>
      <c r="W389" s="2">
        <f>VLOOKUP(Table1[[#This Row],[Status]],Auxiliar!$B$16:$D$24,3,0)*Table1[[#This Row],[Estimação (horas)]]</f>
        <v>0.1</v>
      </c>
      <c r="X389" s="2"/>
    </row>
    <row r="390" spans="2:24" ht="17.7"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1187</v>
      </c>
      <c r="L390" s="28" t="s">
        <v>1185</v>
      </c>
      <c r="M390" s="20" t="s">
        <v>1194</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7"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1188</v>
      </c>
      <c r="L391" s="28" t="s">
        <v>1185</v>
      </c>
      <c r="M391" s="20" t="s">
        <v>1194</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7"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1190</v>
      </c>
      <c r="L392" s="28" t="s">
        <v>1185</v>
      </c>
      <c r="M392" s="20" t="s">
        <v>1194</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7"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1187</v>
      </c>
      <c r="L393" s="28" t="s">
        <v>1185</v>
      </c>
      <c r="M393" s="20" t="s">
        <v>1194</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7"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1188</v>
      </c>
      <c r="L394" s="28" t="s">
        <v>1185</v>
      </c>
      <c r="M394" s="20" t="s">
        <v>1194</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7"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1190</v>
      </c>
      <c r="L395" s="28" t="s">
        <v>1185</v>
      </c>
      <c r="M395" s="20" t="s">
        <v>1194</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7"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1187</v>
      </c>
      <c r="L396" s="28" t="s">
        <v>1185</v>
      </c>
      <c r="M396" s="20" t="s">
        <v>1194</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7"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1188</v>
      </c>
      <c r="L397" s="28" t="s">
        <v>1185</v>
      </c>
      <c r="M397" s="20" t="s">
        <v>1194</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7"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1190</v>
      </c>
      <c r="L398" s="28" t="s">
        <v>1185</v>
      </c>
      <c r="M398" s="20" t="s">
        <v>1194</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7"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1187</v>
      </c>
      <c r="L399" s="28" t="s">
        <v>1185</v>
      </c>
      <c r="M399" s="20" t="s">
        <v>1194</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7"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1188</v>
      </c>
      <c r="L400" s="28" t="s">
        <v>1185</v>
      </c>
      <c r="M400" s="20" t="s">
        <v>1194</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7"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1190</v>
      </c>
      <c r="L401" s="28" t="s">
        <v>1185</v>
      </c>
      <c r="M401" s="20" t="s">
        <v>1194</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7"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1187</v>
      </c>
      <c r="L402" s="28" t="s">
        <v>1185</v>
      </c>
      <c r="M402" s="20" t="s">
        <v>1194</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7"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1188</v>
      </c>
      <c r="L403" s="28" t="s">
        <v>1185</v>
      </c>
      <c r="M403" s="20" t="s">
        <v>1194</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7"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1190</v>
      </c>
      <c r="L404" s="28" t="s">
        <v>1185</v>
      </c>
      <c r="M404" s="20" t="s">
        <v>1194</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7"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1187</v>
      </c>
      <c r="L405" s="28" t="s">
        <v>1185</v>
      </c>
      <c r="M405" s="20" t="s">
        <v>1194</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7"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1188</v>
      </c>
      <c r="L406" s="28" t="s">
        <v>1185</v>
      </c>
      <c r="M406" s="20" t="s">
        <v>1194</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7"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1190</v>
      </c>
      <c r="L407" s="28" t="s">
        <v>1185</v>
      </c>
      <c r="M407" s="20" t="s">
        <v>1194</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7"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1187</v>
      </c>
      <c r="L408" s="28" t="s">
        <v>1185</v>
      </c>
      <c r="M408" s="20" t="s">
        <v>1194</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7"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1188</v>
      </c>
      <c r="L409" s="28" t="s">
        <v>1185</v>
      </c>
      <c r="M409" s="20" t="s">
        <v>1194</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7"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1190</v>
      </c>
      <c r="L410" s="28" t="s">
        <v>1185</v>
      </c>
      <c r="M410" s="20" t="s">
        <v>1194</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7" hidden="1" customHeight="1">
      <c r="B411" s="2" t="s">
        <v>26</v>
      </c>
      <c r="C411" s="2" t="s">
        <v>54</v>
      </c>
      <c r="D411" s="2" t="s">
        <v>124</v>
      </c>
      <c r="E411" s="2" t="s">
        <v>38</v>
      </c>
      <c r="F411" s="2" t="s">
        <v>123</v>
      </c>
      <c r="G411" s="2" t="s">
        <v>2002</v>
      </c>
      <c r="H411" s="56" t="str">
        <f>Table1[[#This Row],[Tabela]]&amp;Table1[[#This Row],[Campo]]</f>
        <v>PROPERTY_ENERGY_CERTIFICATECURRENT_ENERGY_RATING_PERCENTAGE</v>
      </c>
      <c r="I411" s="2" t="s">
        <v>1862</v>
      </c>
      <c r="J411" s="42">
        <f>VLOOKUP(Table1[[#This Row],[Status]],Auxiliar!$B$16:$C$24,2,0)</f>
        <v>2</v>
      </c>
      <c r="K411" s="2" t="s">
        <v>1187</v>
      </c>
      <c r="L411" s="28" t="s">
        <v>1185</v>
      </c>
      <c r="M411" s="20" t="s">
        <v>1194</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1</v>
      </c>
      <c r="X411" s="2"/>
    </row>
    <row r="412" spans="2:24" ht="17.7" hidden="1" customHeight="1">
      <c r="B412" s="2" t="s">
        <v>26</v>
      </c>
      <c r="C412" s="2" t="s">
        <v>54</v>
      </c>
      <c r="D412" s="2" t="s">
        <v>124</v>
      </c>
      <c r="E412" s="2" t="s">
        <v>38</v>
      </c>
      <c r="F412" s="2" t="s">
        <v>123</v>
      </c>
      <c r="G412" s="2" t="s">
        <v>2002</v>
      </c>
      <c r="H412" s="56" t="str">
        <f>Table1[[#This Row],[Tabela]]&amp;Table1[[#This Row],[Campo]]</f>
        <v>PROPERTY_ENERGY_CERTIFICATECURRENT_ENERGY_RATING_PERCENTAGE</v>
      </c>
      <c r="I412" s="2" t="s">
        <v>1862</v>
      </c>
      <c r="J412" s="42">
        <f>VLOOKUP(Table1[[#This Row],[Status]],Auxiliar!$B$16:$C$24,2,0)</f>
        <v>2</v>
      </c>
      <c r="K412" s="2" t="s">
        <v>1188</v>
      </c>
      <c r="L412" s="28" t="s">
        <v>1185</v>
      </c>
      <c r="M412" s="20" t="s">
        <v>1194</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1</v>
      </c>
      <c r="X412" s="2"/>
    </row>
    <row r="413" spans="2:24" ht="17.7" hidden="1" customHeight="1">
      <c r="B413" s="2" t="s">
        <v>26</v>
      </c>
      <c r="C413" s="2" t="s">
        <v>54</v>
      </c>
      <c r="D413" s="2" t="s">
        <v>124</v>
      </c>
      <c r="E413" s="2" t="s">
        <v>38</v>
      </c>
      <c r="F413" s="2" t="s">
        <v>123</v>
      </c>
      <c r="G413" s="2" t="s">
        <v>2002</v>
      </c>
      <c r="H413" s="56" t="str">
        <f>Table1[[#This Row],[Tabela]]&amp;Table1[[#This Row],[Campo]]</f>
        <v>PROPERTY_ENERGY_CERTIFICATECURRENT_ENERGY_RATING_PERCENTAGE</v>
      </c>
      <c r="I413" s="2" t="s">
        <v>1862</v>
      </c>
      <c r="J413" s="42">
        <f>VLOOKUP(Table1[[#This Row],[Status]],Auxiliar!$B$16:$C$24,2,0)</f>
        <v>2</v>
      </c>
      <c r="K413" s="2" t="s">
        <v>1190</v>
      </c>
      <c r="L413" s="28" t="s">
        <v>1185</v>
      </c>
      <c r="M413" s="20" t="s">
        <v>1194</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0.05</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1184</v>
      </c>
      <c r="L414" s="28" t="s">
        <v>1185</v>
      </c>
      <c r="M414" s="20" t="s">
        <v>1186</v>
      </c>
      <c r="N414" s="47">
        <v>45512</v>
      </c>
      <c r="O414" s="20">
        <f>INDEX(Auxiliar!$D$5:$F$13,MATCH(Table1[[#This Row],[Tipologia_Testes]],Auxiliar!$B$5:$B$13,0),MATCH(Table1[[#This Row],[Complexidade]],Auxiliar!$D$4:$F$4,0))</f>
        <v>8</v>
      </c>
      <c r="P414" s="22" t="s">
        <v>1212</v>
      </c>
      <c r="Q414" s="2"/>
      <c r="R414" s="151">
        <v>45261</v>
      </c>
      <c r="S414" s="151"/>
      <c r="T414" s="151"/>
      <c r="U414" s="151"/>
      <c r="V414" s="151"/>
      <c r="W414" s="2">
        <f>VLOOKUP(Table1[[#This Row],[Status]],Auxiliar!$B$16:$D$24,3,0)*Table1[[#This Row],[Estimação (horas)]]</f>
        <v>8</v>
      </c>
      <c r="X414" s="2"/>
    </row>
    <row r="415" spans="2:24" ht="17.7"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1187</v>
      </c>
      <c r="L415" s="28" t="s">
        <v>1193</v>
      </c>
      <c r="M415" s="20" t="s">
        <v>1194</v>
      </c>
      <c r="N415" s="47">
        <v>45499</v>
      </c>
      <c r="O415" s="20">
        <f>INDEX(Auxiliar!$D$5:$F$13,MATCH(Table1[[#This Row],[Tipologia_Testes]],Auxiliar!$B$5:$B$13,0),MATCH(Table1[[#This Row],[Complexidade]],Auxiliar!$D$4:$F$4,0))</f>
        <v>2</v>
      </c>
      <c r="P415" s="2" t="s">
        <v>1207</v>
      </c>
      <c r="Q415" s="2" t="s">
        <v>1204</v>
      </c>
      <c r="R415" s="151">
        <v>45261</v>
      </c>
      <c r="S415" s="151">
        <v>45495</v>
      </c>
      <c r="T415" s="151"/>
      <c r="U415" s="151"/>
      <c r="V415" s="151"/>
      <c r="W415" s="2">
        <f>VLOOKUP(Table1[[#This Row],[Status]],Auxiliar!$B$16:$D$24,3,0)*Table1[[#This Row],[Estimação (horas)]]</f>
        <v>2</v>
      </c>
      <c r="X415" s="2"/>
    </row>
    <row r="416" spans="2:24" ht="17.7"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1188</v>
      </c>
      <c r="L416" s="28" t="s">
        <v>1193</v>
      </c>
      <c r="M416" s="20" t="s">
        <v>1194</v>
      </c>
      <c r="N416" s="47">
        <v>45499</v>
      </c>
      <c r="O416" s="20">
        <f>INDEX(Auxiliar!$D$5:$F$13,MATCH(Table1[[#This Row],[Tipologia_Testes]],Auxiliar!$B$5:$B$13,0),MATCH(Table1[[#This Row],[Complexidade]],Auxiliar!$D$4:$F$4,0))</f>
        <v>2</v>
      </c>
      <c r="P416" s="2" t="s">
        <v>1207</v>
      </c>
      <c r="Q416" s="2" t="s">
        <v>1204</v>
      </c>
      <c r="R416" s="151">
        <v>45261</v>
      </c>
      <c r="S416" s="151">
        <v>45495</v>
      </c>
      <c r="T416" s="151"/>
      <c r="U416" s="151"/>
      <c r="V416" s="151"/>
      <c r="W416" s="2">
        <f>VLOOKUP(Table1[[#This Row],[Status]],Auxiliar!$B$16:$D$24,3,0)*Table1[[#This Row],[Estimação (horas)]]</f>
        <v>2</v>
      </c>
      <c r="X416" s="2"/>
    </row>
    <row r="417" spans="2:24" ht="17.7"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1190</v>
      </c>
      <c r="L417" s="28" t="s">
        <v>1193</v>
      </c>
      <c r="M417" s="20" t="s">
        <v>1194</v>
      </c>
      <c r="N417" s="47">
        <v>45499</v>
      </c>
      <c r="O417" s="20">
        <f>INDEX(Auxiliar!$D$5:$F$13,MATCH(Table1[[#This Row],[Tipologia_Testes]],Auxiliar!$B$5:$B$13,0),MATCH(Table1[[#This Row],[Complexidade]],Auxiliar!$D$4:$F$4,0))</f>
        <v>0.1</v>
      </c>
      <c r="P417" s="2" t="s">
        <v>1207</v>
      </c>
      <c r="Q417" s="2" t="s">
        <v>1204</v>
      </c>
      <c r="R417" s="151">
        <v>45261</v>
      </c>
      <c r="S417" s="151">
        <v>45495</v>
      </c>
      <c r="T417" s="151"/>
      <c r="U417" s="151"/>
      <c r="V417" s="151"/>
      <c r="W417" s="2">
        <f>VLOOKUP(Table1[[#This Row],[Status]],Auxiliar!$B$16:$D$24,3,0)*Table1[[#This Row],[Estimação (horas)]]</f>
        <v>0.1</v>
      </c>
      <c r="X417" s="2"/>
    </row>
    <row r="418" spans="2:24" ht="17.7"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1187</v>
      </c>
      <c r="L418" s="28" t="s">
        <v>1193</v>
      </c>
      <c r="M418" s="20" t="s">
        <v>1194</v>
      </c>
      <c r="N418" s="47">
        <v>45499</v>
      </c>
      <c r="O418" s="20">
        <f>INDEX(Auxiliar!$D$5:$F$13,MATCH(Table1[[#This Row],[Tipologia_Testes]],Auxiliar!$B$5:$B$13,0),MATCH(Table1[[#This Row],[Complexidade]],Auxiliar!$D$4:$F$4,0))</f>
        <v>2</v>
      </c>
      <c r="P418" s="2" t="s">
        <v>1207</v>
      </c>
      <c r="Q418" s="2" t="s">
        <v>1204</v>
      </c>
      <c r="R418" s="151">
        <v>45261</v>
      </c>
      <c r="S418" s="151">
        <v>45495</v>
      </c>
      <c r="T418" s="151"/>
      <c r="U418" s="151"/>
      <c r="V418" s="151"/>
      <c r="W418" s="2">
        <f>VLOOKUP(Table1[[#This Row],[Status]],Auxiliar!$B$16:$D$24,3,0)*Table1[[#This Row],[Estimação (horas)]]</f>
        <v>2</v>
      </c>
      <c r="X418" s="2"/>
    </row>
    <row r="419" spans="2:24" ht="17.7"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1188</v>
      </c>
      <c r="L419" s="28" t="s">
        <v>1193</v>
      </c>
      <c r="M419" s="20" t="s">
        <v>1194</v>
      </c>
      <c r="N419" s="47">
        <v>45499</v>
      </c>
      <c r="O419" s="20">
        <f>INDEX(Auxiliar!$D$5:$F$13,MATCH(Table1[[#This Row],[Tipologia_Testes]],Auxiliar!$B$5:$B$13,0),MATCH(Table1[[#This Row],[Complexidade]],Auxiliar!$D$4:$F$4,0))</f>
        <v>2</v>
      </c>
      <c r="P419" s="2" t="s">
        <v>1207</v>
      </c>
      <c r="Q419" s="2" t="s">
        <v>1204</v>
      </c>
      <c r="R419" s="151">
        <v>45261</v>
      </c>
      <c r="S419" s="151">
        <v>45495</v>
      </c>
      <c r="T419" s="151"/>
      <c r="U419" s="151"/>
      <c r="V419" s="151"/>
      <c r="W419" s="2">
        <f>VLOOKUP(Table1[[#This Row],[Status]],Auxiliar!$B$16:$D$24,3,0)*Table1[[#This Row],[Estimação (horas)]]</f>
        <v>2</v>
      </c>
      <c r="X419" s="2"/>
    </row>
    <row r="420" spans="2:24" ht="17.7"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1190</v>
      </c>
      <c r="L420" s="28" t="s">
        <v>1193</v>
      </c>
      <c r="M420" s="20" t="s">
        <v>1194</v>
      </c>
      <c r="N420" s="47">
        <v>45499</v>
      </c>
      <c r="O420" s="20">
        <f>INDEX(Auxiliar!$D$5:$F$13,MATCH(Table1[[#This Row],[Tipologia_Testes]],Auxiliar!$B$5:$B$13,0),MATCH(Table1[[#This Row],[Complexidade]],Auxiliar!$D$4:$F$4,0))</f>
        <v>0.1</v>
      </c>
      <c r="P420" s="2" t="s">
        <v>1207</v>
      </c>
      <c r="Q420" s="2" t="s">
        <v>1204</v>
      </c>
      <c r="R420" s="151">
        <v>45261</v>
      </c>
      <c r="S420" s="151">
        <v>45495</v>
      </c>
      <c r="T420" s="151"/>
      <c r="U420" s="151"/>
      <c r="V420" s="151"/>
      <c r="W420" s="2">
        <f>VLOOKUP(Table1[[#This Row],[Status]],Auxiliar!$B$16:$D$24,3,0)*Table1[[#This Row],[Estimação (horas)]]</f>
        <v>0.1</v>
      </c>
      <c r="X420" s="2"/>
    </row>
    <row r="421" spans="2:24" ht="17.7"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1187</v>
      </c>
      <c r="L421" s="28" t="s">
        <v>1193</v>
      </c>
      <c r="M421" s="20" t="s">
        <v>1194</v>
      </c>
      <c r="N421" s="47">
        <v>45499</v>
      </c>
      <c r="O421" s="20">
        <f>INDEX(Auxiliar!$D$5:$F$13,MATCH(Table1[[#This Row],[Tipologia_Testes]],Auxiliar!$B$5:$B$13,0),MATCH(Table1[[#This Row],[Complexidade]],Auxiliar!$D$4:$F$4,0))</f>
        <v>2</v>
      </c>
      <c r="P421" s="2" t="s">
        <v>1207</v>
      </c>
      <c r="Q421" s="2" t="s">
        <v>1204</v>
      </c>
      <c r="R421" s="151">
        <v>45261</v>
      </c>
      <c r="S421" s="151">
        <v>45495</v>
      </c>
      <c r="T421" s="151"/>
      <c r="U421" s="151"/>
      <c r="V421" s="151"/>
      <c r="W421" s="2">
        <f>VLOOKUP(Table1[[#This Row],[Status]],Auxiliar!$B$16:$D$24,3,0)*Table1[[#This Row],[Estimação (horas)]]</f>
        <v>2</v>
      </c>
      <c r="X421" s="2"/>
    </row>
    <row r="422" spans="2:24" ht="17.7"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1188</v>
      </c>
      <c r="L422" s="28" t="s">
        <v>1193</v>
      </c>
      <c r="M422" s="20" t="s">
        <v>1194</v>
      </c>
      <c r="N422" s="47">
        <v>45499</v>
      </c>
      <c r="O422" s="20">
        <f>INDEX(Auxiliar!$D$5:$F$13,MATCH(Table1[[#This Row],[Tipologia_Testes]],Auxiliar!$B$5:$B$13,0),MATCH(Table1[[#This Row],[Complexidade]],Auxiliar!$D$4:$F$4,0))</f>
        <v>2</v>
      </c>
      <c r="P422" s="2" t="s">
        <v>1207</v>
      </c>
      <c r="Q422" s="2" t="s">
        <v>1204</v>
      </c>
      <c r="R422" s="151">
        <v>45261</v>
      </c>
      <c r="S422" s="151">
        <v>45495</v>
      </c>
      <c r="T422" s="151"/>
      <c r="U422" s="151"/>
      <c r="V422" s="151"/>
      <c r="W422" s="2">
        <f>VLOOKUP(Table1[[#This Row],[Status]],Auxiliar!$B$16:$D$24,3,0)*Table1[[#This Row],[Estimação (horas)]]</f>
        <v>2</v>
      </c>
      <c r="X422" s="2"/>
    </row>
    <row r="423" spans="2:24" ht="17.7"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1190</v>
      </c>
      <c r="L423" s="28" t="s">
        <v>1193</v>
      </c>
      <c r="M423" s="20" t="s">
        <v>1194</v>
      </c>
      <c r="N423" s="47">
        <v>45499</v>
      </c>
      <c r="O423" s="20">
        <f>INDEX(Auxiliar!$D$5:$F$13,MATCH(Table1[[#This Row],[Tipologia_Testes]],Auxiliar!$B$5:$B$13,0),MATCH(Table1[[#This Row],[Complexidade]],Auxiliar!$D$4:$F$4,0))</f>
        <v>0.1</v>
      </c>
      <c r="P423" s="2" t="s">
        <v>1207</v>
      </c>
      <c r="Q423" s="2" t="s">
        <v>1204</v>
      </c>
      <c r="R423" s="151">
        <v>45261</v>
      </c>
      <c r="S423" s="151">
        <v>45495</v>
      </c>
      <c r="T423" s="151"/>
      <c r="U423" s="151"/>
      <c r="V423" s="151"/>
      <c r="W423" s="2">
        <f>VLOOKUP(Table1[[#This Row],[Status]],Auxiliar!$B$16:$D$24,3,0)*Table1[[#This Row],[Estimação (horas)]]</f>
        <v>0.1</v>
      </c>
      <c r="X423" s="2"/>
    </row>
    <row r="424" spans="2:24" ht="17.7"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1187</v>
      </c>
      <c r="L424" s="28" t="s">
        <v>1205</v>
      </c>
      <c r="M424" s="20" t="s">
        <v>1194</v>
      </c>
      <c r="N424" s="47">
        <v>45485</v>
      </c>
      <c r="O424" s="20">
        <f>INDEX(Auxiliar!$D$5:$F$13,MATCH(Table1[[#This Row],[Tipologia_Testes]],Auxiliar!$B$5:$B$13,0),MATCH(Table1[[#This Row],[Complexidade]],Auxiliar!$D$4:$F$4,0))</f>
        <v>2</v>
      </c>
      <c r="P424" s="2" t="s">
        <v>1213</v>
      </c>
      <c r="Q424" s="2"/>
      <c r="R424" s="151">
        <v>45425</v>
      </c>
      <c r="S424" s="151"/>
      <c r="T424" s="151"/>
      <c r="U424" s="151"/>
      <c r="V424" s="151"/>
      <c r="W424" s="2">
        <f>VLOOKUP(Table1[[#This Row],[Status]],Auxiliar!$B$16:$D$24,3,0)*Table1[[#This Row],[Estimação (horas)]]</f>
        <v>0</v>
      </c>
      <c r="X424" s="2"/>
    </row>
    <row r="425" spans="2:24" ht="17.7"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1187</v>
      </c>
      <c r="L425" s="28" t="s">
        <v>1193</v>
      </c>
      <c r="M425" s="20" t="s">
        <v>1194</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7"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1188</v>
      </c>
      <c r="L426" s="28" t="s">
        <v>1193</v>
      </c>
      <c r="M426" s="20" t="s">
        <v>1194</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7"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1190</v>
      </c>
      <c r="L427" s="28" t="s">
        <v>1193</v>
      </c>
      <c r="M427" s="20" t="s">
        <v>1194</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7"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1187</v>
      </c>
      <c r="L428" s="28" t="s">
        <v>1193</v>
      </c>
      <c r="M428" s="20" t="s">
        <v>1194</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7"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1188</v>
      </c>
      <c r="L429" s="28" t="s">
        <v>1193</v>
      </c>
      <c r="M429" s="20" t="s">
        <v>1194</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7"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1190</v>
      </c>
      <c r="L430" s="28" t="s">
        <v>1193</v>
      </c>
      <c r="M430" s="20" t="s">
        <v>1194</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7"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1187</v>
      </c>
      <c r="L431" s="28" t="s">
        <v>1193</v>
      </c>
      <c r="M431" s="20" t="s">
        <v>1194</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7"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1188</v>
      </c>
      <c r="L432" s="28" t="s">
        <v>1193</v>
      </c>
      <c r="M432" s="20" t="s">
        <v>1194</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7"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1190</v>
      </c>
      <c r="L433" s="28" t="s">
        <v>1193</v>
      </c>
      <c r="M433" s="20" t="s">
        <v>1194</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7"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1187</v>
      </c>
      <c r="L434" s="28" t="s">
        <v>1193</v>
      </c>
      <c r="M434" s="20" t="s">
        <v>1194</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7"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1188</v>
      </c>
      <c r="L435" s="28" t="s">
        <v>1193</v>
      </c>
      <c r="M435" s="20" t="s">
        <v>1194</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7"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1190</v>
      </c>
      <c r="L436" s="28" t="s">
        <v>1193</v>
      </c>
      <c r="M436" s="20" t="s">
        <v>1194</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7"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1187</v>
      </c>
      <c r="L437" s="28" t="s">
        <v>1193</v>
      </c>
      <c r="M437" s="20" t="s">
        <v>1194</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7"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1188</v>
      </c>
      <c r="L438" s="28" t="s">
        <v>1193</v>
      </c>
      <c r="M438" s="20" t="s">
        <v>1194</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7"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1190</v>
      </c>
      <c r="L439" s="28" t="s">
        <v>1193</v>
      </c>
      <c r="M439" s="20" t="s">
        <v>1194</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7"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1187</v>
      </c>
      <c r="L440" s="28" t="s">
        <v>1193</v>
      </c>
      <c r="M440" s="20" t="s">
        <v>1194</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7"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1188</v>
      </c>
      <c r="L441" s="28" t="s">
        <v>1193</v>
      </c>
      <c r="M441" s="20" t="s">
        <v>1194</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7"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1190</v>
      </c>
      <c r="L442" s="28" t="s">
        <v>1193</v>
      </c>
      <c r="M442" s="20" t="s">
        <v>1194</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7"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1187</v>
      </c>
      <c r="L443" s="28" t="s">
        <v>1193</v>
      </c>
      <c r="M443" s="20" t="s">
        <v>1194</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7"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1188</v>
      </c>
      <c r="L444" s="28" t="s">
        <v>1193</v>
      </c>
      <c r="M444" s="20" t="s">
        <v>1194</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7"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1190</v>
      </c>
      <c r="L445" s="28" t="s">
        <v>1193</v>
      </c>
      <c r="M445" s="20" t="s">
        <v>1194</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7"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1187</v>
      </c>
      <c r="L446" s="28" t="s">
        <v>1193</v>
      </c>
      <c r="M446" s="20" t="s">
        <v>1194</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7"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1188</v>
      </c>
      <c r="L447" s="28" t="s">
        <v>1193</v>
      </c>
      <c r="M447" s="20" t="s">
        <v>1194</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7"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1190</v>
      </c>
      <c r="L448" s="28" t="s">
        <v>1193</v>
      </c>
      <c r="M448" s="20" t="s">
        <v>1194</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7"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1187</v>
      </c>
      <c r="L449" s="28" t="s">
        <v>1193</v>
      </c>
      <c r="M449" s="20" t="s">
        <v>1194</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7"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1188</v>
      </c>
      <c r="L450" s="28" t="s">
        <v>1193</v>
      </c>
      <c r="M450" s="20" t="s">
        <v>1194</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7"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1190</v>
      </c>
      <c r="L451" s="28" t="s">
        <v>1193</v>
      </c>
      <c r="M451" s="20" t="s">
        <v>1194</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7"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1187</v>
      </c>
      <c r="L452" s="28" t="s">
        <v>1205</v>
      </c>
      <c r="M452" s="20" t="s">
        <v>1194</v>
      </c>
      <c r="N452" s="47">
        <v>45485</v>
      </c>
      <c r="O452" s="20">
        <f>INDEX(Auxiliar!$D$5:$F$13,MATCH(Table1[[#This Row],[Tipologia_Testes]],Auxiliar!$B$5:$B$13,0),MATCH(Table1[[#This Row],[Complexidade]],Auxiliar!$D$4:$F$4,0))</f>
        <v>2</v>
      </c>
      <c r="P452" s="2" t="s">
        <v>1213</v>
      </c>
      <c r="Q452" s="2"/>
      <c r="R452" s="151">
        <v>45425</v>
      </c>
      <c r="S452" s="151"/>
      <c r="T452" s="151"/>
      <c r="U452" s="151"/>
      <c r="V452" s="151"/>
      <c r="W452" s="2">
        <f>VLOOKUP(Table1[[#This Row],[Status]],Auxiliar!$B$16:$D$24,3,0)*Table1[[#This Row],[Estimação (horas)]]</f>
        <v>0</v>
      </c>
      <c r="X452" s="2"/>
    </row>
    <row r="453" spans="2:24" ht="17.7"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1187</v>
      </c>
      <c r="L453" s="28" t="s">
        <v>1205</v>
      </c>
      <c r="M453" s="20" t="s">
        <v>1194</v>
      </c>
      <c r="N453" s="47">
        <v>45485</v>
      </c>
      <c r="O453" s="20">
        <f>INDEX(Auxiliar!$D$5:$F$13,MATCH(Table1[[#This Row],[Tipologia_Testes]],Auxiliar!$B$5:$B$13,0),MATCH(Table1[[#This Row],[Complexidade]],Auxiliar!$D$4:$F$4,0))</f>
        <v>2</v>
      </c>
      <c r="P453" s="2" t="s">
        <v>1213</v>
      </c>
      <c r="Q453" s="2"/>
      <c r="R453" s="151">
        <v>45425</v>
      </c>
      <c r="S453" s="151"/>
      <c r="T453" s="151"/>
      <c r="U453" s="151"/>
      <c r="V453" s="151"/>
      <c r="W453" s="2">
        <f>VLOOKUP(Table1[[#This Row],[Status]],Auxiliar!$B$16:$D$24,3,0)*Table1[[#This Row],[Estimação (horas)]]</f>
        <v>0</v>
      </c>
      <c r="X453" s="2"/>
    </row>
    <row r="454" spans="2:24" ht="17.7"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1187</v>
      </c>
      <c r="L454" s="28" t="s">
        <v>1193</v>
      </c>
      <c r="M454" s="20" t="s">
        <v>1194</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7"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1188</v>
      </c>
      <c r="L455" s="28" t="s">
        <v>1193</v>
      </c>
      <c r="M455" s="20" t="s">
        <v>1194</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7"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1190</v>
      </c>
      <c r="L456" s="28" t="s">
        <v>1193</v>
      </c>
      <c r="M456" s="20" t="s">
        <v>1194</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7"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1187</v>
      </c>
      <c r="L457" s="28" t="s">
        <v>1193</v>
      </c>
      <c r="M457" s="20" t="s">
        <v>1194</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7"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1188</v>
      </c>
      <c r="L458" s="28" t="s">
        <v>1193</v>
      </c>
      <c r="M458" s="20" t="s">
        <v>1194</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7"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1190</v>
      </c>
      <c r="L459" s="28" t="s">
        <v>1193</v>
      </c>
      <c r="M459" s="20" t="s">
        <v>1194</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1184</v>
      </c>
      <c r="L460" s="28" t="s">
        <v>1185</v>
      </c>
      <c r="M460" s="20" t="s">
        <v>1186</v>
      </c>
      <c r="N460" s="47">
        <v>45512</v>
      </c>
      <c r="O460" s="20">
        <f>INDEX(Auxiliar!$D$5:$F$13,MATCH(Table1[[#This Row],[Tipologia_Testes]],Auxiliar!$B$5:$B$13,0),MATCH(Table1[[#This Row],[Complexidade]],Auxiliar!$D$4:$F$4,0))</f>
        <v>8</v>
      </c>
      <c r="P460" s="22" t="s">
        <v>1214</v>
      </c>
      <c r="Q460" s="2"/>
      <c r="R460" s="151">
        <v>45261</v>
      </c>
      <c r="S460" s="151"/>
      <c r="T460" s="151"/>
      <c r="U460" s="151"/>
      <c r="V460" s="151"/>
      <c r="W460" s="2">
        <f>VLOOKUP(Table1[[#This Row],[Status]],Auxiliar!$B$16:$D$24,3,0)*Table1[[#This Row],[Estimação (horas)]]</f>
        <v>8</v>
      </c>
      <c r="X460" s="2"/>
    </row>
    <row r="461" spans="2:24" ht="17.7"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1187</v>
      </c>
      <c r="L461" s="28" t="s">
        <v>1185</v>
      </c>
      <c r="M461" s="20" t="s">
        <v>1195</v>
      </c>
      <c r="N461" s="47">
        <v>45499</v>
      </c>
      <c r="O461" s="20">
        <f>INDEX(Auxiliar!$D$5:$F$13,MATCH(Table1[[#This Row],[Tipologia_Testes]],Auxiliar!$B$5:$B$13,0),MATCH(Table1[[#This Row],[Complexidade]],Auxiliar!$D$4:$F$4,0))</f>
        <v>4</v>
      </c>
      <c r="P461" s="2" t="s">
        <v>1207</v>
      </c>
      <c r="Q461" s="2" t="s">
        <v>1204</v>
      </c>
      <c r="R461" s="151">
        <v>45261</v>
      </c>
      <c r="S461" s="151">
        <v>45495</v>
      </c>
      <c r="T461" s="151"/>
      <c r="U461" s="151"/>
      <c r="V461" s="151"/>
      <c r="W461" s="2">
        <f>VLOOKUP(Table1[[#This Row],[Status]],Auxiliar!$B$16:$D$24,3,0)*Table1[[#This Row],[Estimação (horas)]]</f>
        <v>4</v>
      </c>
      <c r="X461" s="2"/>
    </row>
    <row r="462" spans="2:24" ht="17.7"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1188</v>
      </c>
      <c r="L462" s="28" t="s">
        <v>1185</v>
      </c>
      <c r="M462" s="20" t="s">
        <v>1195</v>
      </c>
      <c r="N462" s="47">
        <v>45499</v>
      </c>
      <c r="O462" s="20">
        <f>INDEX(Auxiliar!$D$5:$F$13,MATCH(Table1[[#This Row],[Tipologia_Testes]],Auxiliar!$B$5:$B$13,0),MATCH(Table1[[#This Row],[Complexidade]],Auxiliar!$D$4:$F$4,0))</f>
        <v>4</v>
      </c>
      <c r="P462" s="2" t="s">
        <v>1207</v>
      </c>
      <c r="Q462" s="2" t="s">
        <v>1204</v>
      </c>
      <c r="R462" s="151">
        <v>45261</v>
      </c>
      <c r="S462" s="151">
        <v>45495</v>
      </c>
      <c r="T462" s="151"/>
      <c r="U462" s="151"/>
      <c r="V462" s="151"/>
      <c r="W462" s="2">
        <f>VLOOKUP(Table1[[#This Row],[Status]],Auxiliar!$B$16:$D$24,3,0)*Table1[[#This Row],[Estimação (horas)]]</f>
        <v>4</v>
      </c>
      <c r="X462" s="2"/>
    </row>
    <row r="463" spans="2:24" ht="17.7"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1190</v>
      </c>
      <c r="L463" s="28" t="s">
        <v>1185</v>
      </c>
      <c r="M463" s="20" t="s">
        <v>1195</v>
      </c>
      <c r="N463" s="47">
        <v>45499</v>
      </c>
      <c r="O463" s="20">
        <f>INDEX(Auxiliar!$D$5:$F$13,MATCH(Table1[[#This Row],[Tipologia_Testes]],Auxiliar!$B$5:$B$13,0),MATCH(Table1[[#This Row],[Complexidade]],Auxiliar!$D$4:$F$4,0))</f>
        <v>0.1</v>
      </c>
      <c r="P463" s="2" t="s">
        <v>1207</v>
      </c>
      <c r="Q463" s="2" t="s">
        <v>1204</v>
      </c>
      <c r="R463" s="151">
        <v>45261</v>
      </c>
      <c r="S463" s="151">
        <v>45495</v>
      </c>
      <c r="T463" s="151"/>
      <c r="U463" s="151"/>
      <c r="V463" s="151"/>
      <c r="W463" s="2">
        <f>VLOOKUP(Table1[[#This Row],[Status]],Auxiliar!$B$16:$D$24,3,0)*Table1[[#This Row],[Estimação (horas)]]</f>
        <v>0.1</v>
      </c>
      <c r="X463" s="2"/>
    </row>
    <row r="464" spans="2:24" ht="17.7"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1187</v>
      </c>
      <c r="L464" s="28" t="s">
        <v>1185</v>
      </c>
      <c r="M464" s="20" t="s">
        <v>1195</v>
      </c>
      <c r="N464" s="47">
        <v>45499</v>
      </c>
      <c r="O464" s="20">
        <f>INDEX(Auxiliar!$D$5:$F$13,MATCH(Table1[[#This Row],[Tipologia_Testes]],Auxiliar!$B$5:$B$13,0),MATCH(Table1[[#This Row],[Complexidade]],Auxiliar!$D$4:$F$4,0))</f>
        <v>4</v>
      </c>
      <c r="P464" s="2" t="s">
        <v>1207</v>
      </c>
      <c r="Q464" s="2" t="s">
        <v>1204</v>
      </c>
      <c r="R464" s="151">
        <v>45261</v>
      </c>
      <c r="S464" s="151">
        <v>45495</v>
      </c>
      <c r="T464" s="151"/>
      <c r="U464" s="151"/>
      <c r="V464" s="151"/>
      <c r="W464" s="2">
        <f>VLOOKUP(Table1[[#This Row],[Status]],Auxiliar!$B$16:$D$24,3,0)*Table1[[#This Row],[Estimação (horas)]]</f>
        <v>4</v>
      </c>
      <c r="X464" s="2"/>
    </row>
    <row r="465" spans="2:24" ht="17.7"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1188</v>
      </c>
      <c r="L465" s="28" t="s">
        <v>1185</v>
      </c>
      <c r="M465" s="20" t="s">
        <v>1195</v>
      </c>
      <c r="N465" s="47">
        <v>45499</v>
      </c>
      <c r="O465" s="20">
        <f>INDEX(Auxiliar!$D$5:$F$13,MATCH(Table1[[#This Row],[Tipologia_Testes]],Auxiliar!$B$5:$B$13,0),MATCH(Table1[[#This Row],[Complexidade]],Auxiliar!$D$4:$F$4,0))</f>
        <v>4</v>
      </c>
      <c r="P465" s="2" t="s">
        <v>1207</v>
      </c>
      <c r="Q465" s="2" t="s">
        <v>1204</v>
      </c>
      <c r="R465" s="151">
        <v>45261</v>
      </c>
      <c r="S465" s="151">
        <v>45495</v>
      </c>
      <c r="T465" s="151"/>
      <c r="U465" s="151"/>
      <c r="V465" s="151"/>
      <c r="W465" s="2">
        <f>VLOOKUP(Table1[[#This Row],[Status]],Auxiliar!$B$16:$D$24,3,0)*Table1[[#This Row],[Estimação (horas)]]</f>
        <v>4</v>
      </c>
      <c r="X465" s="2"/>
    </row>
    <row r="466" spans="2:24" ht="17.7"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1190</v>
      </c>
      <c r="L466" s="28" t="s">
        <v>1185</v>
      </c>
      <c r="M466" s="20" t="s">
        <v>1195</v>
      </c>
      <c r="N466" s="47">
        <v>45499</v>
      </c>
      <c r="O466" s="20">
        <f>INDEX(Auxiliar!$D$5:$F$13,MATCH(Table1[[#This Row],[Tipologia_Testes]],Auxiliar!$B$5:$B$13,0),MATCH(Table1[[#This Row],[Complexidade]],Auxiliar!$D$4:$F$4,0))</f>
        <v>0.1</v>
      </c>
      <c r="P466" s="2" t="s">
        <v>1207</v>
      </c>
      <c r="Q466" s="2" t="s">
        <v>1204</v>
      </c>
      <c r="R466" s="151">
        <v>45261</v>
      </c>
      <c r="S466" s="151">
        <v>45495</v>
      </c>
      <c r="T466" s="151"/>
      <c r="U466" s="151"/>
      <c r="V466" s="151"/>
      <c r="W466" s="2">
        <f>VLOOKUP(Table1[[#This Row],[Status]],Auxiliar!$B$16:$D$24,3,0)*Table1[[#This Row],[Estimação (horas)]]</f>
        <v>0.1</v>
      </c>
      <c r="X466" s="2"/>
    </row>
    <row r="467" spans="2:24" ht="17.7"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1187</v>
      </c>
      <c r="L467" s="28" t="s">
        <v>1185</v>
      </c>
      <c r="M467" s="20" t="s">
        <v>1195</v>
      </c>
      <c r="N467" s="47">
        <v>45499</v>
      </c>
      <c r="O467" s="20">
        <f>INDEX(Auxiliar!$D$5:$F$13,MATCH(Table1[[#This Row],[Tipologia_Testes]],Auxiliar!$B$5:$B$13,0),MATCH(Table1[[#This Row],[Complexidade]],Auxiliar!$D$4:$F$4,0))</f>
        <v>4</v>
      </c>
      <c r="P467" s="2" t="s">
        <v>1207</v>
      </c>
      <c r="Q467" s="2" t="s">
        <v>1204</v>
      </c>
      <c r="R467" s="151">
        <v>45261</v>
      </c>
      <c r="S467" s="151">
        <v>45495</v>
      </c>
      <c r="T467" s="151"/>
      <c r="U467" s="151"/>
      <c r="V467" s="151"/>
      <c r="W467" s="2">
        <f>VLOOKUP(Table1[[#This Row],[Status]],Auxiliar!$B$16:$D$24,3,0)*Table1[[#This Row],[Estimação (horas)]]</f>
        <v>4</v>
      </c>
      <c r="X467" s="2"/>
    </row>
    <row r="468" spans="2:24" ht="17.7"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1188</v>
      </c>
      <c r="L468" s="28" t="s">
        <v>1185</v>
      </c>
      <c r="M468" s="20" t="s">
        <v>1195</v>
      </c>
      <c r="N468" s="47">
        <v>45499</v>
      </c>
      <c r="O468" s="20">
        <f>INDEX(Auxiliar!$D$5:$F$13,MATCH(Table1[[#This Row],[Tipologia_Testes]],Auxiliar!$B$5:$B$13,0),MATCH(Table1[[#This Row],[Complexidade]],Auxiliar!$D$4:$F$4,0))</f>
        <v>4</v>
      </c>
      <c r="P468" s="2" t="s">
        <v>1207</v>
      </c>
      <c r="Q468" s="2" t="s">
        <v>1204</v>
      </c>
      <c r="R468" s="151">
        <v>45261</v>
      </c>
      <c r="S468" s="151">
        <v>45495</v>
      </c>
      <c r="T468" s="151"/>
      <c r="U468" s="151"/>
      <c r="V468" s="151"/>
      <c r="W468" s="2">
        <f>VLOOKUP(Table1[[#This Row],[Status]],Auxiliar!$B$16:$D$24,3,0)*Table1[[#This Row],[Estimação (horas)]]</f>
        <v>4</v>
      </c>
      <c r="X468" s="2"/>
    </row>
    <row r="469" spans="2:24" ht="17.7"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1190</v>
      </c>
      <c r="L469" s="28" t="s">
        <v>1185</v>
      </c>
      <c r="M469" s="20" t="s">
        <v>1195</v>
      </c>
      <c r="N469" s="47">
        <v>45499</v>
      </c>
      <c r="O469" s="20">
        <f>INDEX(Auxiliar!$D$5:$F$13,MATCH(Table1[[#This Row],[Tipologia_Testes]],Auxiliar!$B$5:$B$13,0),MATCH(Table1[[#This Row],[Complexidade]],Auxiliar!$D$4:$F$4,0))</f>
        <v>0.1</v>
      </c>
      <c r="P469" s="2" t="s">
        <v>1207</v>
      </c>
      <c r="Q469" s="2" t="s">
        <v>1204</v>
      </c>
      <c r="R469" s="151">
        <v>45261</v>
      </c>
      <c r="S469" s="151">
        <v>45495</v>
      </c>
      <c r="T469" s="151"/>
      <c r="U469" s="151"/>
      <c r="V469" s="151"/>
      <c r="W469" s="2">
        <f>VLOOKUP(Table1[[#This Row],[Status]],Auxiliar!$B$16:$D$24,3,0)*Table1[[#This Row],[Estimação (horas)]]</f>
        <v>0.1</v>
      </c>
      <c r="X469" s="2"/>
    </row>
    <row r="470" spans="2:24" ht="17.7"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1187</v>
      </c>
      <c r="L470" s="28" t="s">
        <v>1185</v>
      </c>
      <c r="M470" s="20" t="s">
        <v>1195</v>
      </c>
      <c r="N470" s="47">
        <v>45499</v>
      </c>
      <c r="O470" s="20">
        <f>INDEX(Auxiliar!$D$5:$F$13,MATCH(Table1[[#This Row],[Tipologia_Testes]],Auxiliar!$B$5:$B$13,0),MATCH(Table1[[#This Row],[Complexidade]],Auxiliar!$D$4:$F$4,0))</f>
        <v>4</v>
      </c>
      <c r="P470" s="2" t="s">
        <v>1207</v>
      </c>
      <c r="Q470" s="2" t="s">
        <v>1204</v>
      </c>
      <c r="R470" s="151">
        <v>45261</v>
      </c>
      <c r="S470" s="151">
        <v>45495</v>
      </c>
      <c r="T470" s="151"/>
      <c r="U470" s="151"/>
      <c r="V470" s="151"/>
      <c r="W470" s="2">
        <f>VLOOKUP(Table1[[#This Row],[Status]],Auxiliar!$B$16:$D$24,3,0)*Table1[[#This Row],[Estimação (horas)]]</f>
        <v>4</v>
      </c>
      <c r="X470" s="2"/>
    </row>
    <row r="471" spans="2:24" ht="17.7"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1188</v>
      </c>
      <c r="L471" s="28" t="s">
        <v>1185</v>
      </c>
      <c r="M471" s="20" t="s">
        <v>1195</v>
      </c>
      <c r="N471" s="47">
        <v>45499</v>
      </c>
      <c r="O471" s="20">
        <f>INDEX(Auxiliar!$D$5:$F$13,MATCH(Table1[[#This Row],[Tipologia_Testes]],Auxiliar!$B$5:$B$13,0),MATCH(Table1[[#This Row],[Complexidade]],Auxiliar!$D$4:$F$4,0))</f>
        <v>4</v>
      </c>
      <c r="P471" s="2" t="s">
        <v>1207</v>
      </c>
      <c r="Q471" s="2" t="s">
        <v>1204</v>
      </c>
      <c r="R471" s="151">
        <v>45261</v>
      </c>
      <c r="S471" s="151">
        <v>45495</v>
      </c>
      <c r="T471" s="151"/>
      <c r="U471" s="151"/>
      <c r="V471" s="151"/>
      <c r="W471" s="2">
        <f>VLOOKUP(Table1[[#This Row],[Status]],Auxiliar!$B$16:$D$24,3,0)*Table1[[#This Row],[Estimação (horas)]]</f>
        <v>4</v>
      </c>
      <c r="X471" s="2"/>
    </row>
    <row r="472" spans="2:24" ht="17.7"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1190</v>
      </c>
      <c r="L472" s="28" t="s">
        <v>1185</v>
      </c>
      <c r="M472" s="20" t="s">
        <v>1195</v>
      </c>
      <c r="N472" s="47">
        <v>45499</v>
      </c>
      <c r="O472" s="20">
        <f>INDEX(Auxiliar!$D$5:$F$13,MATCH(Table1[[#This Row],[Tipologia_Testes]],Auxiliar!$B$5:$B$13,0),MATCH(Table1[[#This Row],[Complexidade]],Auxiliar!$D$4:$F$4,0))</f>
        <v>0.1</v>
      </c>
      <c r="P472" s="2" t="s">
        <v>1207</v>
      </c>
      <c r="Q472" s="2" t="s">
        <v>1204</v>
      </c>
      <c r="R472" s="151">
        <v>45261</v>
      </c>
      <c r="S472" s="151">
        <v>45495</v>
      </c>
      <c r="T472" s="151"/>
      <c r="U472" s="151"/>
      <c r="V472" s="151"/>
      <c r="W472" s="2">
        <f>VLOOKUP(Table1[[#This Row],[Status]],Auxiliar!$B$16:$D$24,3,0)*Table1[[#This Row],[Estimação (horas)]]</f>
        <v>0.1</v>
      </c>
      <c r="X472" s="2"/>
    </row>
    <row r="473" spans="2:24" ht="17.7"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1187</v>
      </c>
      <c r="L473" s="28" t="s">
        <v>1185</v>
      </c>
      <c r="M473" s="20" t="s">
        <v>1195</v>
      </c>
      <c r="N473" s="47">
        <v>45499</v>
      </c>
      <c r="O473" s="20">
        <f>INDEX(Auxiliar!$D$5:$F$13,MATCH(Table1[[#This Row],[Tipologia_Testes]],Auxiliar!$B$5:$B$13,0),MATCH(Table1[[#This Row],[Complexidade]],Auxiliar!$D$4:$F$4,0))</f>
        <v>4</v>
      </c>
      <c r="P473" s="2" t="s">
        <v>1207</v>
      </c>
      <c r="Q473" s="2" t="s">
        <v>1204</v>
      </c>
      <c r="R473" s="151">
        <v>45261</v>
      </c>
      <c r="S473" s="151">
        <v>45495</v>
      </c>
      <c r="T473" s="151"/>
      <c r="U473" s="151"/>
      <c r="V473" s="151"/>
      <c r="W473" s="2">
        <f>VLOOKUP(Table1[[#This Row],[Status]],Auxiliar!$B$16:$D$24,3,0)*Table1[[#This Row],[Estimação (horas)]]</f>
        <v>4</v>
      </c>
      <c r="X473" s="2"/>
    </row>
    <row r="474" spans="2:24" ht="17.7"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1188</v>
      </c>
      <c r="L474" s="28" t="s">
        <v>1185</v>
      </c>
      <c r="M474" s="20" t="s">
        <v>1195</v>
      </c>
      <c r="N474" s="47">
        <v>45499</v>
      </c>
      <c r="O474" s="20">
        <f>INDEX(Auxiliar!$D$5:$F$13,MATCH(Table1[[#This Row],[Tipologia_Testes]],Auxiliar!$B$5:$B$13,0),MATCH(Table1[[#This Row],[Complexidade]],Auxiliar!$D$4:$F$4,0))</f>
        <v>4</v>
      </c>
      <c r="P474" s="2" t="s">
        <v>1207</v>
      </c>
      <c r="Q474" s="2" t="s">
        <v>1204</v>
      </c>
      <c r="R474" s="151">
        <v>45261</v>
      </c>
      <c r="S474" s="151">
        <v>45495</v>
      </c>
      <c r="T474" s="151"/>
      <c r="U474" s="151"/>
      <c r="V474" s="151"/>
      <c r="W474" s="2">
        <f>VLOOKUP(Table1[[#This Row],[Status]],Auxiliar!$B$16:$D$24,3,0)*Table1[[#This Row],[Estimação (horas)]]</f>
        <v>4</v>
      </c>
      <c r="X474" s="2"/>
    </row>
    <row r="475" spans="2:24" ht="17.7"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1190</v>
      </c>
      <c r="L475" s="28" t="s">
        <v>1185</v>
      </c>
      <c r="M475" s="20" t="s">
        <v>1195</v>
      </c>
      <c r="N475" s="47">
        <v>45499</v>
      </c>
      <c r="O475" s="20">
        <f>INDEX(Auxiliar!$D$5:$F$13,MATCH(Table1[[#This Row],[Tipologia_Testes]],Auxiliar!$B$5:$B$13,0),MATCH(Table1[[#This Row],[Complexidade]],Auxiliar!$D$4:$F$4,0))</f>
        <v>0.1</v>
      </c>
      <c r="P475" s="2" t="s">
        <v>1207</v>
      </c>
      <c r="Q475" s="2" t="s">
        <v>1204</v>
      </c>
      <c r="R475" s="151">
        <v>45261</v>
      </c>
      <c r="S475" s="151">
        <v>45495</v>
      </c>
      <c r="T475" s="151"/>
      <c r="U475" s="151"/>
      <c r="V475" s="151"/>
      <c r="W475" s="2">
        <f>VLOOKUP(Table1[[#This Row],[Status]],Auxiliar!$B$16:$D$24,3,0)*Table1[[#This Row],[Estimação (horas)]]</f>
        <v>0.1</v>
      </c>
      <c r="X475" s="2"/>
    </row>
    <row r="476" spans="2:24" ht="17.7"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1187</v>
      </c>
      <c r="L476" s="28" t="s">
        <v>1185</v>
      </c>
      <c r="M476" s="20" t="s">
        <v>1195</v>
      </c>
      <c r="N476" s="47">
        <v>45499</v>
      </c>
      <c r="O476" s="20">
        <f>INDEX(Auxiliar!$D$5:$F$13,MATCH(Table1[[#This Row],[Tipologia_Testes]],Auxiliar!$B$5:$B$13,0),MATCH(Table1[[#This Row],[Complexidade]],Auxiliar!$D$4:$F$4,0))</f>
        <v>4</v>
      </c>
      <c r="P476" s="2" t="s">
        <v>1207</v>
      </c>
      <c r="Q476" s="2" t="s">
        <v>1204</v>
      </c>
      <c r="R476" s="151">
        <v>45261</v>
      </c>
      <c r="S476" s="151">
        <v>45495</v>
      </c>
      <c r="T476" s="151"/>
      <c r="U476" s="151"/>
      <c r="V476" s="151"/>
      <c r="W476" s="2">
        <f>VLOOKUP(Table1[[#This Row],[Status]],Auxiliar!$B$16:$D$24,3,0)*Table1[[#This Row],[Estimação (horas)]]</f>
        <v>4</v>
      </c>
      <c r="X476" s="2"/>
    </row>
    <row r="477" spans="2:24" ht="17.7"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1188</v>
      </c>
      <c r="L477" s="28" t="s">
        <v>1185</v>
      </c>
      <c r="M477" s="20" t="s">
        <v>1195</v>
      </c>
      <c r="N477" s="47">
        <v>45499</v>
      </c>
      <c r="O477" s="20">
        <f>INDEX(Auxiliar!$D$5:$F$13,MATCH(Table1[[#This Row],[Tipologia_Testes]],Auxiliar!$B$5:$B$13,0),MATCH(Table1[[#This Row],[Complexidade]],Auxiliar!$D$4:$F$4,0))</f>
        <v>4</v>
      </c>
      <c r="P477" s="2" t="s">
        <v>1207</v>
      </c>
      <c r="Q477" s="2" t="s">
        <v>1204</v>
      </c>
      <c r="R477" s="151">
        <v>45261</v>
      </c>
      <c r="S477" s="151">
        <v>45495</v>
      </c>
      <c r="T477" s="151"/>
      <c r="U477" s="151"/>
      <c r="V477" s="151"/>
      <c r="W477" s="2">
        <f>VLOOKUP(Table1[[#This Row],[Status]],Auxiliar!$B$16:$D$24,3,0)*Table1[[#This Row],[Estimação (horas)]]</f>
        <v>4</v>
      </c>
      <c r="X477" s="2"/>
    </row>
    <row r="478" spans="2:24" ht="17.7"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1190</v>
      </c>
      <c r="L478" s="28" t="s">
        <v>1185</v>
      </c>
      <c r="M478" s="20" t="s">
        <v>1195</v>
      </c>
      <c r="N478" s="47">
        <v>45499</v>
      </c>
      <c r="O478" s="20">
        <f>INDEX(Auxiliar!$D$5:$F$13,MATCH(Table1[[#This Row],[Tipologia_Testes]],Auxiliar!$B$5:$B$13,0),MATCH(Table1[[#This Row],[Complexidade]],Auxiliar!$D$4:$F$4,0))</f>
        <v>0.1</v>
      </c>
      <c r="P478" s="2" t="s">
        <v>1207</v>
      </c>
      <c r="Q478" s="2" t="s">
        <v>1204</v>
      </c>
      <c r="R478" s="151">
        <v>45261</v>
      </c>
      <c r="S478" s="151">
        <v>45495</v>
      </c>
      <c r="T478" s="151"/>
      <c r="U478" s="151"/>
      <c r="V478" s="151"/>
      <c r="W478" s="2">
        <f>VLOOKUP(Table1[[#This Row],[Status]],Auxiliar!$B$16:$D$24,3,0)*Table1[[#This Row],[Estimação (horas)]]</f>
        <v>0.1</v>
      </c>
      <c r="X478" s="2"/>
    </row>
    <row r="479" spans="2:24" ht="17.7"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1187</v>
      </c>
      <c r="L479" s="28" t="s">
        <v>1193</v>
      </c>
      <c r="M479" s="20" t="s">
        <v>1195</v>
      </c>
      <c r="N479" s="47">
        <v>45499</v>
      </c>
      <c r="O479" s="20">
        <f>INDEX(Auxiliar!$D$5:$F$13,MATCH(Table1[[#This Row],[Tipologia_Testes]],Auxiliar!$B$5:$B$13,0),MATCH(Table1[[#This Row],[Complexidade]],Auxiliar!$D$4:$F$4,0))</f>
        <v>4</v>
      </c>
      <c r="P479" s="2" t="s">
        <v>1207</v>
      </c>
      <c r="Q479" s="2" t="s">
        <v>1204</v>
      </c>
      <c r="R479" s="151">
        <v>45261</v>
      </c>
      <c r="S479" s="151">
        <v>45495</v>
      </c>
      <c r="T479" s="151"/>
      <c r="U479" s="151"/>
      <c r="V479" s="151"/>
      <c r="W479" s="2">
        <f>VLOOKUP(Table1[[#This Row],[Status]],Auxiliar!$B$16:$D$24,3,0)*Table1[[#This Row],[Estimação (horas)]]</f>
        <v>4</v>
      </c>
      <c r="X479" s="2"/>
    </row>
    <row r="480" spans="2:24" ht="17.7"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1188</v>
      </c>
      <c r="L480" s="28" t="s">
        <v>1193</v>
      </c>
      <c r="M480" s="20" t="s">
        <v>1195</v>
      </c>
      <c r="N480" s="47">
        <v>45499</v>
      </c>
      <c r="O480" s="20">
        <f>INDEX(Auxiliar!$D$5:$F$13,MATCH(Table1[[#This Row],[Tipologia_Testes]],Auxiliar!$B$5:$B$13,0),MATCH(Table1[[#This Row],[Complexidade]],Auxiliar!$D$4:$F$4,0))</f>
        <v>4</v>
      </c>
      <c r="P480" s="2" t="s">
        <v>1207</v>
      </c>
      <c r="Q480" s="2" t="s">
        <v>1204</v>
      </c>
      <c r="R480" s="151">
        <v>45261</v>
      </c>
      <c r="S480" s="151">
        <v>45495</v>
      </c>
      <c r="T480" s="151"/>
      <c r="U480" s="151"/>
      <c r="V480" s="151"/>
      <c r="W480" s="2">
        <f>VLOOKUP(Table1[[#This Row],[Status]],Auxiliar!$B$16:$D$24,3,0)*Table1[[#This Row],[Estimação (horas)]]</f>
        <v>4</v>
      </c>
      <c r="X480" s="2"/>
    </row>
    <row r="481" spans="2:24" ht="17.7"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1190</v>
      </c>
      <c r="L481" s="28" t="s">
        <v>1193</v>
      </c>
      <c r="M481" s="20" t="s">
        <v>1195</v>
      </c>
      <c r="N481" s="47">
        <v>45499</v>
      </c>
      <c r="O481" s="20">
        <f>INDEX(Auxiliar!$D$5:$F$13,MATCH(Table1[[#This Row],[Tipologia_Testes]],Auxiliar!$B$5:$B$13,0),MATCH(Table1[[#This Row],[Complexidade]],Auxiliar!$D$4:$F$4,0))</f>
        <v>0.1</v>
      </c>
      <c r="P481" s="2" t="s">
        <v>1207</v>
      </c>
      <c r="Q481" s="2" t="s">
        <v>1204</v>
      </c>
      <c r="R481" s="151">
        <v>45261</v>
      </c>
      <c r="S481" s="151">
        <v>45495</v>
      </c>
      <c r="T481" s="151"/>
      <c r="U481" s="151"/>
      <c r="V481" s="151"/>
      <c r="W481" s="2">
        <f>VLOOKUP(Table1[[#This Row],[Status]],Auxiliar!$B$16:$D$24,3,0)*Table1[[#This Row],[Estimação (horas)]]</f>
        <v>0.1</v>
      </c>
      <c r="X481" s="2"/>
    </row>
    <row r="482" spans="2:24" ht="17.7"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1187</v>
      </c>
      <c r="L482" s="28" t="s">
        <v>1193</v>
      </c>
      <c r="M482" s="20" t="s">
        <v>1195</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7"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1188</v>
      </c>
      <c r="L483" s="28" t="s">
        <v>1193</v>
      </c>
      <c r="M483" s="20" t="s">
        <v>1195</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7"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1190</v>
      </c>
      <c r="L484" s="28" t="s">
        <v>1193</v>
      </c>
      <c r="M484" s="20" t="s">
        <v>1195</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7"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1187</v>
      </c>
      <c r="L485" s="28" t="s">
        <v>1193</v>
      </c>
      <c r="M485" s="20" t="s">
        <v>1195</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7"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1188</v>
      </c>
      <c r="L486" s="28" t="s">
        <v>1193</v>
      </c>
      <c r="M486" s="20" t="s">
        <v>1195</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7"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1190</v>
      </c>
      <c r="L487" s="28" t="s">
        <v>1193</v>
      </c>
      <c r="M487" s="20" t="s">
        <v>1195</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7"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1187</v>
      </c>
      <c r="L488" s="28" t="s">
        <v>1193</v>
      </c>
      <c r="M488" s="20" t="s">
        <v>1195</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7"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1188</v>
      </c>
      <c r="L489" s="28" t="s">
        <v>1193</v>
      </c>
      <c r="M489" s="20" t="s">
        <v>1195</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7"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1190</v>
      </c>
      <c r="L490" s="28" t="s">
        <v>1193</v>
      </c>
      <c r="M490" s="20" t="s">
        <v>1195</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7"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1187</v>
      </c>
      <c r="L491" s="28" t="s">
        <v>1205</v>
      </c>
      <c r="M491" s="20" t="s">
        <v>1195</v>
      </c>
      <c r="N491" s="47">
        <v>45485</v>
      </c>
      <c r="O491" s="20">
        <f>INDEX(Auxiliar!$D$5:$F$13,MATCH(Table1[[#This Row],[Tipologia_Testes]],Auxiliar!$B$5:$B$13,0),MATCH(Table1[[#This Row],[Complexidade]],Auxiliar!$D$4:$F$4,0))</f>
        <v>4</v>
      </c>
      <c r="P491" s="2" t="s">
        <v>1213</v>
      </c>
      <c r="Q491" s="2"/>
      <c r="R491" s="151">
        <v>45425</v>
      </c>
      <c r="S491" s="151"/>
      <c r="T491" s="151"/>
      <c r="U491" s="151"/>
      <c r="V491" s="151"/>
      <c r="W491" s="2">
        <f>VLOOKUP(Table1[[#This Row],[Status]],Auxiliar!$B$16:$D$24,3,0)*Table1[[#This Row],[Estimação (horas)]]</f>
        <v>0</v>
      </c>
      <c r="X491" s="2"/>
    </row>
    <row r="492" spans="2:24" ht="17.7"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1187</v>
      </c>
      <c r="L492" s="28" t="s">
        <v>1193</v>
      </c>
      <c r="M492" s="20" t="s">
        <v>1195</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7"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1188</v>
      </c>
      <c r="L493" s="28" t="s">
        <v>1193</v>
      </c>
      <c r="M493" s="20" t="s">
        <v>1195</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7"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1190</v>
      </c>
      <c r="L494" s="28" t="s">
        <v>1193</v>
      </c>
      <c r="M494" s="20" t="s">
        <v>1195</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7"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1187</v>
      </c>
      <c r="L495" s="28" t="s">
        <v>1185</v>
      </c>
      <c r="M495" s="20" t="s">
        <v>1195</v>
      </c>
      <c r="N495" s="47">
        <v>45512</v>
      </c>
      <c r="O495" s="20">
        <f>INDEX(Auxiliar!$D$5:$F$13,MATCH(Table1[[#This Row],[Tipologia_Testes]],Auxiliar!$B$5:$B$13,0),MATCH(Table1[[#This Row],[Complexidade]],Auxiliar!$D$4:$F$4,0))</f>
        <v>4</v>
      </c>
      <c r="P495" s="2" t="s">
        <v>1215</v>
      </c>
      <c r="Q495" s="2"/>
      <c r="R495" s="151">
        <v>45261</v>
      </c>
      <c r="S495" s="151"/>
      <c r="T495" s="151"/>
      <c r="U495" s="151"/>
      <c r="V495" s="151"/>
      <c r="W495" s="2">
        <f>VLOOKUP(Table1[[#This Row],[Status]],Auxiliar!$B$16:$D$24,3,0)*Table1[[#This Row],[Estimação (horas)]]</f>
        <v>4</v>
      </c>
      <c r="X495" s="2"/>
    </row>
    <row r="496" spans="2:24" ht="17.7"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1188</v>
      </c>
      <c r="L496" s="28" t="s">
        <v>1185</v>
      </c>
      <c r="M496" s="20" t="s">
        <v>1195</v>
      </c>
      <c r="N496" s="47">
        <v>45512</v>
      </c>
      <c r="O496" s="20">
        <f>INDEX(Auxiliar!$D$5:$F$13,MATCH(Table1[[#This Row],[Tipologia_Testes]],Auxiliar!$B$5:$B$13,0),MATCH(Table1[[#This Row],[Complexidade]],Auxiliar!$D$4:$F$4,0))</f>
        <v>4</v>
      </c>
      <c r="P496" s="2" t="s">
        <v>1215</v>
      </c>
      <c r="Q496" s="2"/>
      <c r="R496" s="151">
        <v>45261</v>
      </c>
      <c r="S496" s="151"/>
      <c r="T496" s="151"/>
      <c r="U496" s="151"/>
      <c r="V496" s="151"/>
      <c r="W496" s="2">
        <f>VLOOKUP(Table1[[#This Row],[Status]],Auxiliar!$B$16:$D$24,3,0)*Table1[[#This Row],[Estimação (horas)]]</f>
        <v>4</v>
      </c>
      <c r="X496" s="2"/>
    </row>
    <row r="497" spans="2:24" ht="17.7"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1190</v>
      </c>
      <c r="L497" s="28" t="s">
        <v>1185</v>
      </c>
      <c r="M497" s="20" t="s">
        <v>1195</v>
      </c>
      <c r="N497" s="47">
        <v>45512</v>
      </c>
      <c r="O497" s="20">
        <f>INDEX(Auxiliar!$D$5:$F$13,MATCH(Table1[[#This Row],[Tipologia_Testes]],Auxiliar!$B$5:$B$13,0),MATCH(Table1[[#This Row],[Complexidade]],Auxiliar!$D$4:$F$4,0))</f>
        <v>0.1</v>
      </c>
      <c r="P497" s="2" t="s">
        <v>1215</v>
      </c>
      <c r="Q497" s="2"/>
      <c r="R497" s="151">
        <v>45261</v>
      </c>
      <c r="S497" s="151"/>
      <c r="T497" s="151"/>
      <c r="U497" s="151"/>
      <c r="V497" s="151"/>
      <c r="W497" s="2">
        <f>VLOOKUP(Table1[[#This Row],[Status]],Auxiliar!$B$16:$D$24,3,0)*Table1[[#This Row],[Estimação (horas)]]</f>
        <v>0.1</v>
      </c>
      <c r="X497" s="2"/>
    </row>
    <row r="498" spans="2:24" ht="17.7"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1187</v>
      </c>
      <c r="L498" s="28" t="s">
        <v>1193</v>
      </c>
      <c r="M498" s="20" t="s">
        <v>1195</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7"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1188</v>
      </c>
      <c r="L499" s="28" t="s">
        <v>1193</v>
      </c>
      <c r="M499" s="20" t="s">
        <v>1195</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7"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1190</v>
      </c>
      <c r="L500" s="28" t="s">
        <v>1193</v>
      </c>
      <c r="M500" s="20" t="s">
        <v>1195</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7"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1187</v>
      </c>
      <c r="L501" s="28" t="s">
        <v>1193</v>
      </c>
      <c r="M501" s="20" t="s">
        <v>1195</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7"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1188</v>
      </c>
      <c r="L502" s="28" t="s">
        <v>1193</v>
      </c>
      <c r="M502" s="20" t="s">
        <v>1195</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7"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1190</v>
      </c>
      <c r="L503" s="28" t="s">
        <v>1193</v>
      </c>
      <c r="M503" s="20" t="s">
        <v>1195</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7"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1187</v>
      </c>
      <c r="L504" s="28" t="s">
        <v>1193</v>
      </c>
      <c r="M504" s="20" t="s">
        <v>1195</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7"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1188</v>
      </c>
      <c r="L505" s="28" t="s">
        <v>1193</v>
      </c>
      <c r="M505" s="20" t="s">
        <v>1195</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7"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1190</v>
      </c>
      <c r="L506" s="28" t="s">
        <v>1193</v>
      </c>
      <c r="M506" s="20" t="s">
        <v>1195</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7"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1187</v>
      </c>
      <c r="L507" s="28" t="s">
        <v>1205</v>
      </c>
      <c r="M507" s="20" t="s">
        <v>1195</v>
      </c>
      <c r="N507" s="47">
        <v>45485</v>
      </c>
      <c r="O507" s="20">
        <f>INDEX(Auxiliar!$D$5:$F$13,MATCH(Table1[[#This Row],[Tipologia_Testes]],Auxiliar!$B$5:$B$13,0),MATCH(Table1[[#This Row],[Complexidade]],Auxiliar!$D$4:$F$4,0))</f>
        <v>4</v>
      </c>
      <c r="P507" s="2" t="s">
        <v>1213</v>
      </c>
      <c r="Q507" s="2"/>
      <c r="R507" s="151">
        <v>45425</v>
      </c>
      <c r="S507" s="151"/>
      <c r="T507" s="151"/>
      <c r="U507" s="151"/>
      <c r="V507" s="151"/>
      <c r="W507" s="2">
        <f>VLOOKUP(Table1[[#This Row],[Status]],Auxiliar!$B$16:$D$24,3,0)*Table1[[#This Row],[Estimação (horas)]]</f>
        <v>0</v>
      </c>
      <c r="X507" s="2"/>
    </row>
    <row r="508" spans="2:24" ht="17.7"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1187</v>
      </c>
      <c r="L508" s="28" t="s">
        <v>1205</v>
      </c>
      <c r="M508" s="20" t="s">
        <v>1195</v>
      </c>
      <c r="N508" s="47">
        <v>45485</v>
      </c>
      <c r="O508" s="20">
        <f>INDEX(Auxiliar!$D$5:$F$13,MATCH(Table1[[#This Row],[Tipologia_Testes]],Auxiliar!$B$5:$B$13,0),MATCH(Table1[[#This Row],[Complexidade]],Auxiliar!$D$4:$F$4,0))</f>
        <v>4</v>
      </c>
      <c r="P508" s="2" t="s">
        <v>1213</v>
      </c>
      <c r="Q508" s="2"/>
      <c r="R508" s="151">
        <v>45425</v>
      </c>
      <c r="S508" s="151"/>
      <c r="T508" s="151"/>
      <c r="U508" s="151"/>
      <c r="V508" s="151"/>
      <c r="W508" s="2">
        <f>VLOOKUP(Table1[[#This Row],[Status]],Auxiliar!$B$16:$D$24,3,0)*Table1[[#This Row],[Estimação (horas)]]</f>
        <v>0</v>
      </c>
      <c r="X508" s="2"/>
    </row>
    <row r="509" spans="2:24" ht="17.7"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1187</v>
      </c>
      <c r="L509" s="28" t="s">
        <v>1193</v>
      </c>
      <c r="M509" s="20" t="s">
        <v>1194</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7"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1188</v>
      </c>
      <c r="L510" s="28" t="s">
        <v>1193</v>
      </c>
      <c r="M510" s="20" t="s">
        <v>1194</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7"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1190</v>
      </c>
      <c r="L511" s="28" t="s">
        <v>1193</v>
      </c>
      <c r="M511" s="20" t="s">
        <v>1194</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7"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1187</v>
      </c>
      <c r="L512" s="28" t="s">
        <v>1193</v>
      </c>
      <c r="M512" s="20" t="s">
        <v>1194</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7"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1188</v>
      </c>
      <c r="L513" s="28" t="s">
        <v>1193</v>
      </c>
      <c r="M513" s="20" t="s">
        <v>1194</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7"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1190</v>
      </c>
      <c r="L514" s="28" t="s">
        <v>1193</v>
      </c>
      <c r="M514" s="20" t="s">
        <v>1194</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1184</v>
      </c>
      <c r="L515" s="28" t="s">
        <v>1185</v>
      </c>
      <c r="M515" s="20" t="s">
        <v>1186</v>
      </c>
      <c r="N515" s="47">
        <v>45485</v>
      </c>
      <c r="O515" s="20">
        <f>INDEX(Auxiliar!$D$5:$F$13,MATCH(Table1[[#This Row],[Tipologia_Testes]],Auxiliar!$B$5:$B$13,0),MATCH(Table1[[#This Row],[Complexidade]],Auxiliar!$D$4:$F$4,0))</f>
        <v>8</v>
      </c>
      <c r="P515" s="22" t="s">
        <v>1214</v>
      </c>
      <c r="Q515" s="2"/>
      <c r="R515" s="151">
        <v>45261</v>
      </c>
      <c r="S515" s="151"/>
      <c r="T515" s="151"/>
      <c r="U515" s="151"/>
      <c r="V515" s="151"/>
      <c r="W515" s="2">
        <f>VLOOKUP(Table1[[#This Row],[Status]],Auxiliar!$B$16:$D$24,3,0)*Table1[[#This Row],[Estimação (horas)]]</f>
        <v>8</v>
      </c>
      <c r="X515" s="2"/>
    </row>
    <row r="516" spans="2:24" ht="17.7"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1187</v>
      </c>
      <c r="L516" s="28" t="s">
        <v>1193</v>
      </c>
      <c r="M516" s="20" t="s">
        <v>1194</v>
      </c>
      <c r="N516" s="47">
        <v>45485</v>
      </c>
      <c r="O516" s="20">
        <f>INDEX(Auxiliar!$D$5:$F$13,MATCH(Table1[[#This Row],[Tipologia_Testes]],Auxiliar!$B$5:$B$13,0),MATCH(Table1[[#This Row],[Complexidade]],Auxiliar!$D$4:$F$4,0))</f>
        <v>2</v>
      </c>
      <c r="P516" s="2" t="s">
        <v>1207</v>
      </c>
      <c r="Q516" s="2" t="s">
        <v>1204</v>
      </c>
      <c r="R516" s="151">
        <v>45261</v>
      </c>
      <c r="S516" s="151"/>
      <c r="T516" s="151"/>
      <c r="U516" s="151"/>
      <c r="V516" s="151"/>
      <c r="W516" s="2">
        <f>VLOOKUP(Table1[[#This Row],[Status]],Auxiliar!$B$16:$D$24,3,0)*Table1[[#This Row],[Estimação (horas)]]</f>
        <v>2</v>
      </c>
      <c r="X516" s="2"/>
    </row>
    <row r="517" spans="2:24" ht="17.7"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1188</v>
      </c>
      <c r="L517" s="28" t="s">
        <v>1193</v>
      </c>
      <c r="M517" s="20" t="s">
        <v>1194</v>
      </c>
      <c r="N517" s="47">
        <v>45485</v>
      </c>
      <c r="O517" s="20">
        <f>INDEX(Auxiliar!$D$5:$F$13,MATCH(Table1[[#This Row],[Tipologia_Testes]],Auxiliar!$B$5:$B$13,0),MATCH(Table1[[#This Row],[Complexidade]],Auxiliar!$D$4:$F$4,0))</f>
        <v>2</v>
      </c>
      <c r="P517" s="2" t="s">
        <v>1207</v>
      </c>
      <c r="Q517" s="2" t="s">
        <v>1204</v>
      </c>
      <c r="R517" s="151">
        <v>45261</v>
      </c>
      <c r="S517" s="151"/>
      <c r="T517" s="151"/>
      <c r="U517" s="151"/>
      <c r="V517" s="151"/>
      <c r="W517" s="2">
        <f>VLOOKUP(Table1[[#This Row],[Status]],Auxiliar!$B$16:$D$24,3,0)*Table1[[#This Row],[Estimação (horas)]]</f>
        <v>2</v>
      </c>
      <c r="X517" s="2"/>
    </row>
    <row r="518" spans="2:24" ht="17.7"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1190</v>
      </c>
      <c r="L518" s="28" t="s">
        <v>1193</v>
      </c>
      <c r="M518" s="20" t="s">
        <v>1194</v>
      </c>
      <c r="N518" s="47">
        <v>45485</v>
      </c>
      <c r="O518" s="20">
        <f>INDEX(Auxiliar!$D$5:$F$13,MATCH(Table1[[#This Row],[Tipologia_Testes]],Auxiliar!$B$5:$B$13,0),MATCH(Table1[[#This Row],[Complexidade]],Auxiliar!$D$4:$F$4,0))</f>
        <v>0.1</v>
      </c>
      <c r="P518" s="2" t="s">
        <v>1207</v>
      </c>
      <c r="Q518" s="2" t="s">
        <v>1204</v>
      </c>
      <c r="R518" s="151">
        <v>45261</v>
      </c>
      <c r="S518" s="151"/>
      <c r="T518" s="151"/>
      <c r="U518" s="151"/>
      <c r="V518" s="151"/>
      <c r="W518" s="2">
        <f>VLOOKUP(Table1[[#This Row],[Status]],Auxiliar!$B$16:$D$24,3,0)*Table1[[#This Row],[Estimação (horas)]]</f>
        <v>0.1</v>
      </c>
      <c r="X518" s="2"/>
    </row>
    <row r="519" spans="2:24" ht="17.7"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1187</v>
      </c>
      <c r="L519" s="28" t="s">
        <v>1185</v>
      </c>
      <c r="M519" s="20" t="s">
        <v>1195</v>
      </c>
      <c r="N519" s="47">
        <v>45499</v>
      </c>
      <c r="O519" s="20">
        <f>INDEX(Auxiliar!$D$5:$F$13,MATCH(Table1[[#This Row],[Tipologia_Testes]],Auxiliar!$B$5:$B$13,0),MATCH(Table1[[#This Row],[Complexidade]],Auxiliar!$D$4:$F$4,0))</f>
        <v>4</v>
      </c>
      <c r="P519" s="2" t="s">
        <v>1207</v>
      </c>
      <c r="Q519" s="2" t="s">
        <v>1204</v>
      </c>
      <c r="R519" s="151">
        <v>45261</v>
      </c>
      <c r="S519" s="151">
        <v>45495</v>
      </c>
      <c r="T519" s="151"/>
      <c r="U519" s="151"/>
      <c r="V519" s="151"/>
      <c r="W519" s="2">
        <f>VLOOKUP(Table1[[#This Row],[Status]],Auxiliar!$B$16:$D$24,3,0)*Table1[[#This Row],[Estimação (horas)]]</f>
        <v>4</v>
      </c>
      <c r="X519" s="2"/>
    </row>
    <row r="520" spans="2:24" ht="17.7"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1188</v>
      </c>
      <c r="L520" s="28" t="s">
        <v>1185</v>
      </c>
      <c r="M520" s="20" t="s">
        <v>1195</v>
      </c>
      <c r="N520" s="47">
        <v>45499</v>
      </c>
      <c r="O520" s="20">
        <f>INDEX(Auxiliar!$D$5:$F$13,MATCH(Table1[[#This Row],[Tipologia_Testes]],Auxiliar!$B$5:$B$13,0),MATCH(Table1[[#This Row],[Complexidade]],Auxiliar!$D$4:$F$4,0))</f>
        <v>4</v>
      </c>
      <c r="P520" s="2" t="s">
        <v>1207</v>
      </c>
      <c r="Q520" s="2" t="s">
        <v>1204</v>
      </c>
      <c r="R520" s="151">
        <v>45261</v>
      </c>
      <c r="S520" s="151">
        <v>45495</v>
      </c>
      <c r="T520" s="151"/>
      <c r="U520" s="151"/>
      <c r="V520" s="151"/>
      <c r="W520" s="2">
        <f>VLOOKUP(Table1[[#This Row],[Status]],Auxiliar!$B$16:$D$24,3,0)*Table1[[#This Row],[Estimação (horas)]]</f>
        <v>4</v>
      </c>
      <c r="X520" s="2"/>
    </row>
    <row r="521" spans="2:24" ht="17.7"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1190</v>
      </c>
      <c r="L521" s="28" t="s">
        <v>1185</v>
      </c>
      <c r="M521" s="20" t="s">
        <v>1195</v>
      </c>
      <c r="N521" s="47">
        <v>45499</v>
      </c>
      <c r="O521" s="20">
        <f>INDEX(Auxiliar!$D$5:$F$13,MATCH(Table1[[#This Row],[Tipologia_Testes]],Auxiliar!$B$5:$B$13,0),MATCH(Table1[[#This Row],[Complexidade]],Auxiliar!$D$4:$F$4,0))</f>
        <v>0.1</v>
      </c>
      <c r="P521" s="2" t="s">
        <v>1207</v>
      </c>
      <c r="Q521" s="2" t="s">
        <v>1204</v>
      </c>
      <c r="R521" s="151">
        <v>45261</v>
      </c>
      <c r="S521" s="151">
        <v>45495</v>
      </c>
      <c r="T521" s="151"/>
      <c r="U521" s="151"/>
      <c r="V521" s="151"/>
      <c r="W521" s="2">
        <f>VLOOKUP(Table1[[#This Row],[Status]],Auxiliar!$B$16:$D$24,3,0)*Table1[[#This Row],[Estimação (horas)]]</f>
        <v>0.1</v>
      </c>
      <c r="X521" s="2"/>
    </row>
    <row r="522" spans="2:24" ht="17.7"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1187</v>
      </c>
      <c r="L522" s="28" t="s">
        <v>1185</v>
      </c>
      <c r="M522" s="20" t="s">
        <v>1195</v>
      </c>
      <c r="N522" s="47">
        <v>45499</v>
      </c>
      <c r="O522" s="20">
        <f>INDEX(Auxiliar!$D$5:$F$13,MATCH(Table1[[#This Row],[Tipologia_Testes]],Auxiliar!$B$5:$B$13,0),MATCH(Table1[[#This Row],[Complexidade]],Auxiliar!$D$4:$F$4,0))</f>
        <v>4</v>
      </c>
      <c r="P522" s="2" t="s">
        <v>1207</v>
      </c>
      <c r="Q522" s="2" t="s">
        <v>1204</v>
      </c>
      <c r="R522" s="151">
        <v>45261</v>
      </c>
      <c r="S522" s="151">
        <v>45495</v>
      </c>
      <c r="T522" s="151"/>
      <c r="U522" s="151"/>
      <c r="V522" s="151"/>
      <c r="W522" s="2">
        <f>VLOOKUP(Table1[[#This Row],[Status]],Auxiliar!$B$16:$D$24,3,0)*Table1[[#This Row],[Estimação (horas)]]</f>
        <v>4</v>
      </c>
      <c r="X522" s="2"/>
    </row>
    <row r="523" spans="2:24" ht="17.7"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1188</v>
      </c>
      <c r="L523" s="28" t="s">
        <v>1185</v>
      </c>
      <c r="M523" s="20" t="s">
        <v>1195</v>
      </c>
      <c r="N523" s="47">
        <v>45499</v>
      </c>
      <c r="O523" s="20">
        <f>INDEX(Auxiliar!$D$5:$F$13,MATCH(Table1[[#This Row],[Tipologia_Testes]],Auxiliar!$B$5:$B$13,0),MATCH(Table1[[#This Row],[Complexidade]],Auxiliar!$D$4:$F$4,0))</f>
        <v>4</v>
      </c>
      <c r="P523" s="2" t="s">
        <v>1207</v>
      </c>
      <c r="Q523" s="2" t="s">
        <v>1204</v>
      </c>
      <c r="R523" s="151">
        <v>45261</v>
      </c>
      <c r="S523" s="151">
        <v>45495</v>
      </c>
      <c r="T523" s="151"/>
      <c r="U523" s="151"/>
      <c r="V523" s="151"/>
      <c r="W523" s="2">
        <f>VLOOKUP(Table1[[#This Row],[Status]],Auxiliar!$B$16:$D$24,3,0)*Table1[[#This Row],[Estimação (horas)]]</f>
        <v>4</v>
      </c>
      <c r="X523" s="2"/>
    </row>
    <row r="524" spans="2:24" ht="17.7"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1190</v>
      </c>
      <c r="L524" s="28" t="s">
        <v>1185</v>
      </c>
      <c r="M524" s="20" t="s">
        <v>1195</v>
      </c>
      <c r="N524" s="47">
        <v>45499</v>
      </c>
      <c r="O524" s="20">
        <f>INDEX(Auxiliar!$D$5:$F$13,MATCH(Table1[[#This Row],[Tipologia_Testes]],Auxiliar!$B$5:$B$13,0),MATCH(Table1[[#This Row],[Complexidade]],Auxiliar!$D$4:$F$4,0))</f>
        <v>0.1</v>
      </c>
      <c r="P524" s="2" t="s">
        <v>1207</v>
      </c>
      <c r="Q524" s="2" t="s">
        <v>1204</v>
      </c>
      <c r="R524" s="151">
        <v>45261</v>
      </c>
      <c r="S524" s="151">
        <v>45495</v>
      </c>
      <c r="T524" s="151"/>
      <c r="U524" s="151"/>
      <c r="V524" s="151"/>
      <c r="W524" s="2">
        <f>VLOOKUP(Table1[[#This Row],[Status]],Auxiliar!$B$16:$D$24,3,0)*Table1[[#This Row],[Estimação (horas)]]</f>
        <v>0.1</v>
      </c>
      <c r="X524" s="2"/>
    </row>
    <row r="525" spans="2:24" ht="17.7"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1187</v>
      </c>
      <c r="L525" s="28" t="s">
        <v>1185</v>
      </c>
      <c r="M525" s="20" t="s">
        <v>1195</v>
      </c>
      <c r="N525" s="47">
        <v>45499</v>
      </c>
      <c r="O525" s="20">
        <f>INDEX(Auxiliar!$D$5:$F$13,MATCH(Table1[[#This Row],[Tipologia_Testes]],Auxiliar!$B$5:$B$13,0),MATCH(Table1[[#This Row],[Complexidade]],Auxiliar!$D$4:$F$4,0))</f>
        <v>4</v>
      </c>
      <c r="P525" s="2" t="s">
        <v>1207</v>
      </c>
      <c r="Q525" s="2" t="s">
        <v>1204</v>
      </c>
      <c r="R525" s="151">
        <v>45261</v>
      </c>
      <c r="S525" s="151">
        <v>45495</v>
      </c>
      <c r="T525" s="151"/>
      <c r="U525" s="151"/>
      <c r="V525" s="151"/>
      <c r="W525" s="2">
        <f>VLOOKUP(Table1[[#This Row],[Status]],Auxiliar!$B$16:$D$24,3,0)*Table1[[#This Row],[Estimação (horas)]]</f>
        <v>4</v>
      </c>
      <c r="X525" s="2"/>
    </row>
    <row r="526" spans="2:24" ht="17.7"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1188</v>
      </c>
      <c r="L526" s="28" t="s">
        <v>1185</v>
      </c>
      <c r="M526" s="20" t="s">
        <v>1195</v>
      </c>
      <c r="N526" s="47">
        <v>45499</v>
      </c>
      <c r="O526" s="20">
        <f>INDEX(Auxiliar!$D$5:$F$13,MATCH(Table1[[#This Row],[Tipologia_Testes]],Auxiliar!$B$5:$B$13,0),MATCH(Table1[[#This Row],[Complexidade]],Auxiliar!$D$4:$F$4,0))</f>
        <v>4</v>
      </c>
      <c r="P526" s="2" t="s">
        <v>1207</v>
      </c>
      <c r="Q526" s="2" t="s">
        <v>1204</v>
      </c>
      <c r="R526" s="151">
        <v>45261</v>
      </c>
      <c r="S526" s="151">
        <v>45495</v>
      </c>
      <c r="T526" s="151"/>
      <c r="U526" s="151"/>
      <c r="V526" s="151"/>
      <c r="W526" s="2">
        <f>VLOOKUP(Table1[[#This Row],[Status]],Auxiliar!$B$16:$D$24,3,0)*Table1[[#This Row],[Estimação (horas)]]</f>
        <v>4</v>
      </c>
      <c r="X526" s="2"/>
    </row>
    <row r="527" spans="2:24" ht="17.7"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1190</v>
      </c>
      <c r="L527" s="28" t="s">
        <v>1185</v>
      </c>
      <c r="M527" s="20" t="s">
        <v>1195</v>
      </c>
      <c r="N527" s="47">
        <v>45499</v>
      </c>
      <c r="O527" s="20">
        <f>INDEX(Auxiliar!$D$5:$F$13,MATCH(Table1[[#This Row],[Tipologia_Testes]],Auxiliar!$B$5:$B$13,0),MATCH(Table1[[#This Row],[Complexidade]],Auxiliar!$D$4:$F$4,0))</f>
        <v>0.1</v>
      </c>
      <c r="P527" s="2" t="s">
        <v>1207</v>
      </c>
      <c r="Q527" s="2" t="s">
        <v>1204</v>
      </c>
      <c r="R527" s="151">
        <v>45261</v>
      </c>
      <c r="S527" s="151">
        <v>45495</v>
      </c>
      <c r="T527" s="151"/>
      <c r="U527" s="151"/>
      <c r="V527" s="151"/>
      <c r="W527" s="2">
        <f>VLOOKUP(Table1[[#This Row],[Status]],Auxiliar!$B$16:$D$24,3,0)*Table1[[#This Row],[Estimação (horas)]]</f>
        <v>0.1</v>
      </c>
      <c r="X527" s="2"/>
    </row>
    <row r="528" spans="2:24" ht="17.7"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1187</v>
      </c>
      <c r="L528" s="28" t="s">
        <v>1185</v>
      </c>
      <c r="M528" s="20" t="s">
        <v>1195</v>
      </c>
      <c r="N528" s="47">
        <v>45499</v>
      </c>
      <c r="O528" s="20">
        <f>INDEX(Auxiliar!$D$5:$F$13,MATCH(Table1[[#This Row],[Tipologia_Testes]],Auxiliar!$B$5:$B$13,0),MATCH(Table1[[#This Row],[Complexidade]],Auxiliar!$D$4:$F$4,0))</f>
        <v>4</v>
      </c>
      <c r="P528" s="2" t="s">
        <v>1207</v>
      </c>
      <c r="Q528" s="2" t="s">
        <v>1204</v>
      </c>
      <c r="R528" s="151">
        <v>45261</v>
      </c>
      <c r="S528" s="151">
        <v>45495</v>
      </c>
      <c r="T528" s="151"/>
      <c r="U528" s="151"/>
      <c r="V528" s="151"/>
      <c r="W528" s="2">
        <f>VLOOKUP(Table1[[#This Row],[Status]],Auxiliar!$B$16:$D$24,3,0)*Table1[[#This Row],[Estimação (horas)]]</f>
        <v>4</v>
      </c>
      <c r="X528" s="2"/>
    </row>
    <row r="529" spans="2:24" ht="17.7"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1188</v>
      </c>
      <c r="L529" s="28" t="s">
        <v>1185</v>
      </c>
      <c r="M529" s="20" t="s">
        <v>1195</v>
      </c>
      <c r="N529" s="47">
        <v>45499</v>
      </c>
      <c r="O529" s="20">
        <f>INDEX(Auxiliar!$D$5:$F$13,MATCH(Table1[[#This Row],[Tipologia_Testes]],Auxiliar!$B$5:$B$13,0),MATCH(Table1[[#This Row],[Complexidade]],Auxiliar!$D$4:$F$4,0))</f>
        <v>4</v>
      </c>
      <c r="P529" s="2" t="s">
        <v>1207</v>
      </c>
      <c r="Q529" s="2" t="s">
        <v>1204</v>
      </c>
      <c r="R529" s="151">
        <v>45261</v>
      </c>
      <c r="S529" s="151">
        <v>45495</v>
      </c>
      <c r="T529" s="151"/>
      <c r="U529" s="151"/>
      <c r="V529" s="151"/>
      <c r="W529" s="2">
        <f>VLOOKUP(Table1[[#This Row],[Status]],Auxiliar!$B$16:$D$24,3,0)*Table1[[#This Row],[Estimação (horas)]]</f>
        <v>4</v>
      </c>
      <c r="X529" s="2"/>
    </row>
    <row r="530" spans="2:24" ht="17.7"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1190</v>
      </c>
      <c r="L530" s="28" t="s">
        <v>1185</v>
      </c>
      <c r="M530" s="20" t="s">
        <v>1195</v>
      </c>
      <c r="N530" s="47">
        <v>45499</v>
      </c>
      <c r="O530" s="20">
        <f>INDEX(Auxiliar!$D$5:$F$13,MATCH(Table1[[#This Row],[Tipologia_Testes]],Auxiliar!$B$5:$B$13,0),MATCH(Table1[[#This Row],[Complexidade]],Auxiliar!$D$4:$F$4,0))</f>
        <v>0.1</v>
      </c>
      <c r="P530" s="2" t="s">
        <v>1207</v>
      </c>
      <c r="Q530" s="2" t="s">
        <v>1204</v>
      </c>
      <c r="R530" s="151">
        <v>45261</v>
      </c>
      <c r="S530" s="151">
        <v>45495</v>
      </c>
      <c r="T530" s="151"/>
      <c r="U530" s="151"/>
      <c r="V530" s="151"/>
      <c r="W530" s="2">
        <f>VLOOKUP(Table1[[#This Row],[Status]],Auxiliar!$B$16:$D$24,3,0)*Table1[[#This Row],[Estimação (horas)]]</f>
        <v>0.1</v>
      </c>
      <c r="X530" s="2"/>
    </row>
    <row r="531" spans="2:24" ht="17.7"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1187</v>
      </c>
      <c r="L531" s="28" t="s">
        <v>1185</v>
      </c>
      <c r="M531" s="20" t="s">
        <v>1195</v>
      </c>
      <c r="N531" s="47">
        <v>45499</v>
      </c>
      <c r="O531" s="20">
        <f>INDEX(Auxiliar!$D$5:$F$13,MATCH(Table1[[#This Row],[Tipologia_Testes]],Auxiliar!$B$5:$B$13,0),MATCH(Table1[[#This Row],[Complexidade]],Auxiliar!$D$4:$F$4,0))</f>
        <v>4</v>
      </c>
      <c r="P531" s="2" t="s">
        <v>1207</v>
      </c>
      <c r="Q531" s="2" t="s">
        <v>1204</v>
      </c>
      <c r="R531" s="151">
        <v>45261</v>
      </c>
      <c r="S531" s="151">
        <v>45495</v>
      </c>
      <c r="T531" s="151"/>
      <c r="U531" s="151"/>
      <c r="V531" s="151"/>
      <c r="W531" s="2">
        <f>VLOOKUP(Table1[[#This Row],[Status]],Auxiliar!$B$16:$D$24,3,0)*Table1[[#This Row],[Estimação (horas)]]</f>
        <v>4</v>
      </c>
      <c r="X531" s="2"/>
    </row>
    <row r="532" spans="2:24" ht="17.7"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1188</v>
      </c>
      <c r="L532" s="28" t="s">
        <v>1185</v>
      </c>
      <c r="M532" s="20" t="s">
        <v>1195</v>
      </c>
      <c r="N532" s="47">
        <v>45499</v>
      </c>
      <c r="O532" s="20">
        <f>INDEX(Auxiliar!$D$5:$F$13,MATCH(Table1[[#This Row],[Tipologia_Testes]],Auxiliar!$B$5:$B$13,0),MATCH(Table1[[#This Row],[Complexidade]],Auxiliar!$D$4:$F$4,0))</f>
        <v>4</v>
      </c>
      <c r="P532" s="2" t="s">
        <v>1207</v>
      </c>
      <c r="Q532" s="2" t="s">
        <v>1204</v>
      </c>
      <c r="R532" s="151">
        <v>45261</v>
      </c>
      <c r="S532" s="151">
        <v>45495</v>
      </c>
      <c r="T532" s="151"/>
      <c r="U532" s="151"/>
      <c r="V532" s="151"/>
      <c r="W532" s="2">
        <f>VLOOKUP(Table1[[#This Row],[Status]],Auxiliar!$B$16:$D$24,3,0)*Table1[[#This Row],[Estimação (horas)]]</f>
        <v>4</v>
      </c>
      <c r="X532" s="2"/>
    </row>
    <row r="533" spans="2:24" ht="17.7"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1190</v>
      </c>
      <c r="L533" s="28" t="s">
        <v>1185</v>
      </c>
      <c r="M533" s="20" t="s">
        <v>1195</v>
      </c>
      <c r="N533" s="47">
        <v>45499</v>
      </c>
      <c r="O533" s="20">
        <f>INDEX(Auxiliar!$D$5:$F$13,MATCH(Table1[[#This Row],[Tipologia_Testes]],Auxiliar!$B$5:$B$13,0),MATCH(Table1[[#This Row],[Complexidade]],Auxiliar!$D$4:$F$4,0))</f>
        <v>0.1</v>
      </c>
      <c r="P533" s="2" t="s">
        <v>1207</v>
      </c>
      <c r="Q533" s="2" t="s">
        <v>1204</v>
      </c>
      <c r="R533" s="151">
        <v>45261</v>
      </c>
      <c r="S533" s="151">
        <v>45495</v>
      </c>
      <c r="T533" s="151"/>
      <c r="U533" s="151"/>
      <c r="V533" s="151"/>
      <c r="W533" s="2">
        <f>VLOOKUP(Table1[[#This Row],[Status]],Auxiliar!$B$16:$D$24,3,0)*Table1[[#This Row],[Estimação (horas)]]</f>
        <v>0.1</v>
      </c>
      <c r="X533" s="2"/>
    </row>
    <row r="534" spans="2:24" ht="17.7"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1187</v>
      </c>
      <c r="L534" s="28" t="s">
        <v>1193</v>
      </c>
      <c r="M534" s="20" t="s">
        <v>1194</v>
      </c>
      <c r="N534" s="47">
        <v>45485</v>
      </c>
      <c r="O534" s="20">
        <f>INDEX(Auxiliar!$D$5:$F$13,MATCH(Table1[[#This Row],[Tipologia_Testes]],Auxiliar!$B$5:$B$13,0),MATCH(Table1[[#This Row],[Complexidade]],Auxiliar!$D$4:$F$4,0))</f>
        <v>2</v>
      </c>
      <c r="P534" s="2" t="s">
        <v>1207</v>
      </c>
      <c r="Q534" s="2" t="s">
        <v>1204</v>
      </c>
      <c r="R534" s="151">
        <v>45261</v>
      </c>
      <c r="S534" s="151"/>
      <c r="T534" s="151"/>
      <c r="U534" s="151"/>
      <c r="V534" s="151"/>
      <c r="W534" s="2">
        <f>VLOOKUP(Table1[[#This Row],[Status]],Auxiliar!$B$16:$D$24,3,0)*Table1[[#This Row],[Estimação (horas)]]</f>
        <v>2</v>
      </c>
      <c r="X534" s="2"/>
    </row>
    <row r="535" spans="2:24" ht="17.7"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1188</v>
      </c>
      <c r="L535" s="28" t="s">
        <v>1193</v>
      </c>
      <c r="M535" s="20" t="s">
        <v>1194</v>
      </c>
      <c r="N535" s="47">
        <v>45485</v>
      </c>
      <c r="O535" s="20">
        <f>INDEX(Auxiliar!$D$5:$F$13,MATCH(Table1[[#This Row],[Tipologia_Testes]],Auxiliar!$B$5:$B$13,0),MATCH(Table1[[#This Row],[Complexidade]],Auxiliar!$D$4:$F$4,0))</f>
        <v>2</v>
      </c>
      <c r="P535" s="2" t="s">
        <v>1207</v>
      </c>
      <c r="Q535" s="2" t="s">
        <v>1204</v>
      </c>
      <c r="R535" s="151">
        <v>45261</v>
      </c>
      <c r="S535" s="151"/>
      <c r="T535" s="151"/>
      <c r="U535" s="151"/>
      <c r="V535" s="151"/>
      <c r="W535" s="2">
        <f>VLOOKUP(Table1[[#This Row],[Status]],Auxiliar!$B$16:$D$24,3,0)*Table1[[#This Row],[Estimação (horas)]]</f>
        <v>2</v>
      </c>
      <c r="X535" s="2"/>
    </row>
    <row r="536" spans="2:24" ht="17.7"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1190</v>
      </c>
      <c r="L536" s="28" t="s">
        <v>1193</v>
      </c>
      <c r="M536" s="20" t="s">
        <v>1194</v>
      </c>
      <c r="N536" s="47">
        <v>45485</v>
      </c>
      <c r="O536" s="20">
        <f>INDEX(Auxiliar!$D$5:$F$13,MATCH(Table1[[#This Row],[Tipologia_Testes]],Auxiliar!$B$5:$B$13,0),MATCH(Table1[[#This Row],[Complexidade]],Auxiliar!$D$4:$F$4,0))</f>
        <v>0.1</v>
      </c>
      <c r="P536" s="2" t="s">
        <v>1207</v>
      </c>
      <c r="Q536" s="2" t="s">
        <v>1204</v>
      </c>
      <c r="R536" s="151">
        <v>45261</v>
      </c>
      <c r="S536" s="151"/>
      <c r="T536" s="151"/>
      <c r="U536" s="151"/>
      <c r="V536" s="151"/>
      <c r="W536" s="2">
        <f>VLOOKUP(Table1[[#This Row],[Status]],Auxiliar!$B$16:$D$24,3,0)*Table1[[#This Row],[Estimação (horas)]]</f>
        <v>0.1</v>
      </c>
      <c r="X536" s="2"/>
    </row>
    <row r="537" spans="2:24" ht="17.7"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1187</v>
      </c>
      <c r="L537" s="28" t="s">
        <v>1185</v>
      </c>
      <c r="M537" s="20" t="s">
        <v>1195</v>
      </c>
      <c r="N537" s="47">
        <v>45505</v>
      </c>
      <c r="O537" s="20">
        <f>INDEX(Auxiliar!$D$5:$F$13,MATCH(Table1[[#This Row],[Tipologia_Testes]],Auxiliar!$B$5:$B$13,0),MATCH(Table1[[#This Row],[Complexidade]],Auxiliar!$D$4:$F$4,0))</f>
        <v>4</v>
      </c>
      <c r="P537" s="2"/>
      <c r="Q537" s="2" t="s">
        <v>1204</v>
      </c>
      <c r="R537" s="151">
        <v>45261</v>
      </c>
      <c r="S537" s="151"/>
      <c r="T537" s="151"/>
      <c r="U537" s="151"/>
      <c r="V537" s="151"/>
      <c r="W537" s="2">
        <f>VLOOKUP(Table1[[#This Row],[Status]],Auxiliar!$B$16:$D$24,3,0)*Table1[[#This Row],[Estimação (horas)]]</f>
        <v>4</v>
      </c>
      <c r="X537" s="2"/>
    </row>
    <row r="538" spans="2:24" ht="17.7"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1188</v>
      </c>
      <c r="L538" s="28" t="s">
        <v>1185</v>
      </c>
      <c r="M538" s="20" t="s">
        <v>1195</v>
      </c>
      <c r="N538" s="47">
        <v>45505</v>
      </c>
      <c r="O538" s="20">
        <f>INDEX(Auxiliar!$D$5:$F$13,MATCH(Table1[[#This Row],[Tipologia_Testes]],Auxiliar!$B$5:$B$13,0),MATCH(Table1[[#This Row],[Complexidade]],Auxiliar!$D$4:$F$4,0))</f>
        <v>4</v>
      </c>
      <c r="P538" s="2"/>
      <c r="Q538" s="2" t="s">
        <v>1204</v>
      </c>
      <c r="R538" s="151">
        <v>45261</v>
      </c>
      <c r="S538" s="151"/>
      <c r="T538" s="151"/>
      <c r="U538" s="151"/>
      <c r="V538" s="151"/>
      <c r="W538" s="2">
        <f>VLOOKUP(Table1[[#This Row],[Status]],Auxiliar!$B$16:$D$24,3,0)*Table1[[#This Row],[Estimação (horas)]]</f>
        <v>4</v>
      </c>
      <c r="X538" s="2"/>
    </row>
    <row r="539" spans="2:24" ht="17.7"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1190</v>
      </c>
      <c r="L539" s="28" t="s">
        <v>1185</v>
      </c>
      <c r="M539" s="20" t="s">
        <v>1195</v>
      </c>
      <c r="N539" s="47">
        <v>45505</v>
      </c>
      <c r="O539" s="20">
        <f>INDEX(Auxiliar!$D$5:$F$13,MATCH(Table1[[#This Row],[Tipologia_Testes]],Auxiliar!$B$5:$B$13,0),MATCH(Table1[[#This Row],[Complexidade]],Auxiliar!$D$4:$F$4,0))</f>
        <v>0.1</v>
      </c>
      <c r="P539" s="2"/>
      <c r="Q539" s="2" t="s">
        <v>1204</v>
      </c>
      <c r="R539" s="151">
        <v>45261</v>
      </c>
      <c r="S539" s="151"/>
      <c r="T539" s="151"/>
      <c r="U539" s="151"/>
      <c r="V539" s="151"/>
      <c r="W539" s="2">
        <f>VLOOKUP(Table1[[#This Row],[Status]],Auxiliar!$B$16:$D$24,3,0)*Table1[[#This Row],[Estimação (horas)]]</f>
        <v>0.1</v>
      </c>
      <c r="X539" s="2"/>
    </row>
    <row r="540" spans="2:24" ht="17.7"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1187</v>
      </c>
      <c r="L540" s="28" t="s">
        <v>1205</v>
      </c>
      <c r="M540" s="20" t="s">
        <v>1195</v>
      </c>
      <c r="N540" s="47">
        <v>45485</v>
      </c>
      <c r="O540" s="20">
        <f>INDEX(Auxiliar!$D$5:$F$13,MATCH(Table1[[#This Row],[Tipologia_Testes]],Auxiliar!$B$5:$B$13,0),MATCH(Table1[[#This Row],[Complexidade]],Auxiliar!$D$4:$F$4,0))</f>
        <v>4</v>
      </c>
      <c r="P540" s="2" t="s">
        <v>1213</v>
      </c>
      <c r="Q540" s="2" t="s">
        <v>1204</v>
      </c>
      <c r="R540" s="151">
        <v>45425</v>
      </c>
      <c r="S540" s="151"/>
      <c r="T540" s="151"/>
      <c r="U540" s="151"/>
      <c r="V540" s="151"/>
      <c r="W540" s="2">
        <f>VLOOKUP(Table1[[#This Row],[Status]],Auxiliar!$B$16:$D$24,3,0)*Table1[[#This Row],[Estimação (horas)]]</f>
        <v>0</v>
      </c>
      <c r="X540" s="2"/>
    </row>
    <row r="541" spans="2:24" ht="17.7"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1187</v>
      </c>
      <c r="L541" s="28" t="s">
        <v>1193</v>
      </c>
      <c r="M541" s="20" t="s">
        <v>1194</v>
      </c>
      <c r="N541" s="47">
        <v>45485</v>
      </c>
      <c r="O541" s="20">
        <f>INDEX(Auxiliar!$D$5:$F$13,MATCH(Table1[[#This Row],[Tipologia_Testes]],Auxiliar!$B$5:$B$13,0),MATCH(Table1[[#This Row],[Complexidade]],Auxiliar!$D$4:$F$4,0))</f>
        <v>2</v>
      </c>
      <c r="P541" s="2"/>
      <c r="Q541" s="2" t="s">
        <v>1204</v>
      </c>
      <c r="R541" s="151">
        <v>45261</v>
      </c>
      <c r="S541" s="151"/>
      <c r="T541" s="151"/>
      <c r="U541" s="151"/>
      <c r="V541" s="151"/>
      <c r="W541" s="2">
        <f>VLOOKUP(Table1[[#This Row],[Status]],Auxiliar!$B$16:$D$24,3,0)*Table1[[#This Row],[Estimação (horas)]]</f>
        <v>2</v>
      </c>
      <c r="X541" s="2"/>
    </row>
    <row r="542" spans="2:24" ht="17.7"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1188</v>
      </c>
      <c r="L542" s="28" t="s">
        <v>1193</v>
      </c>
      <c r="M542" s="20" t="s">
        <v>1194</v>
      </c>
      <c r="N542" s="47">
        <v>45485</v>
      </c>
      <c r="O542" s="20">
        <f>INDEX(Auxiliar!$D$5:$F$13,MATCH(Table1[[#This Row],[Tipologia_Testes]],Auxiliar!$B$5:$B$13,0),MATCH(Table1[[#This Row],[Complexidade]],Auxiliar!$D$4:$F$4,0))</f>
        <v>2</v>
      </c>
      <c r="P542" s="2"/>
      <c r="Q542" s="2" t="s">
        <v>1204</v>
      </c>
      <c r="R542" s="151">
        <v>45261</v>
      </c>
      <c r="S542" s="151"/>
      <c r="T542" s="151"/>
      <c r="U542" s="151"/>
      <c r="V542" s="151"/>
      <c r="W542" s="2">
        <f>VLOOKUP(Table1[[#This Row],[Status]],Auxiliar!$B$16:$D$24,3,0)*Table1[[#This Row],[Estimação (horas)]]</f>
        <v>2</v>
      </c>
      <c r="X542" s="2"/>
    </row>
    <row r="543" spans="2:24" ht="17.7"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1190</v>
      </c>
      <c r="L543" s="28" t="s">
        <v>1193</v>
      </c>
      <c r="M543" s="20" t="s">
        <v>1194</v>
      </c>
      <c r="N543" s="47">
        <v>45485</v>
      </c>
      <c r="O543" s="20">
        <f>INDEX(Auxiliar!$D$5:$F$13,MATCH(Table1[[#This Row],[Tipologia_Testes]],Auxiliar!$B$5:$B$13,0),MATCH(Table1[[#This Row],[Complexidade]],Auxiliar!$D$4:$F$4,0))</f>
        <v>0.1</v>
      </c>
      <c r="P543" s="2"/>
      <c r="Q543" s="2" t="s">
        <v>1204</v>
      </c>
      <c r="R543" s="151">
        <v>45261</v>
      </c>
      <c r="S543" s="151"/>
      <c r="T543" s="151"/>
      <c r="U543" s="151"/>
      <c r="V543" s="151"/>
      <c r="W543" s="2">
        <f>VLOOKUP(Table1[[#This Row],[Status]],Auxiliar!$B$16:$D$24,3,0)*Table1[[#This Row],[Estimação (horas)]]</f>
        <v>0.1</v>
      </c>
      <c r="X543" s="2"/>
    </row>
    <row r="544" spans="2:24" ht="17.7"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1187</v>
      </c>
      <c r="L544" s="28" t="s">
        <v>1193</v>
      </c>
      <c r="M544" s="20" t="s">
        <v>1194</v>
      </c>
      <c r="N544" s="47">
        <v>45485</v>
      </c>
      <c r="O544" s="20">
        <f>INDEX(Auxiliar!$D$5:$F$13,MATCH(Table1[[#This Row],[Tipologia_Testes]],Auxiliar!$B$5:$B$13,0),MATCH(Table1[[#This Row],[Complexidade]],Auxiliar!$D$4:$F$4,0))</f>
        <v>2</v>
      </c>
      <c r="P544" s="2"/>
      <c r="Q544" s="2" t="s">
        <v>1204</v>
      </c>
      <c r="R544" s="151">
        <v>45261</v>
      </c>
      <c r="S544" s="151"/>
      <c r="T544" s="151"/>
      <c r="U544" s="151"/>
      <c r="V544" s="151"/>
      <c r="W544" s="2">
        <f>VLOOKUP(Table1[[#This Row],[Status]],Auxiliar!$B$16:$D$24,3,0)*Table1[[#This Row],[Estimação (horas)]]</f>
        <v>2</v>
      </c>
      <c r="X544" s="2"/>
    </row>
    <row r="545" spans="2:24" ht="17.7"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1188</v>
      </c>
      <c r="L545" s="28" t="s">
        <v>1193</v>
      </c>
      <c r="M545" s="20" t="s">
        <v>1194</v>
      </c>
      <c r="N545" s="47">
        <v>45485</v>
      </c>
      <c r="O545" s="20">
        <f>INDEX(Auxiliar!$D$5:$F$13,MATCH(Table1[[#This Row],[Tipologia_Testes]],Auxiliar!$B$5:$B$13,0),MATCH(Table1[[#This Row],[Complexidade]],Auxiliar!$D$4:$F$4,0))</f>
        <v>2</v>
      </c>
      <c r="P545" s="2"/>
      <c r="Q545" s="2" t="s">
        <v>1204</v>
      </c>
      <c r="R545" s="151">
        <v>45261</v>
      </c>
      <c r="S545" s="151"/>
      <c r="T545" s="151"/>
      <c r="U545" s="151"/>
      <c r="V545" s="151"/>
      <c r="W545" s="2">
        <f>VLOOKUP(Table1[[#This Row],[Status]],Auxiliar!$B$16:$D$24,3,0)*Table1[[#This Row],[Estimação (horas)]]</f>
        <v>2</v>
      </c>
      <c r="X545" s="2"/>
    </row>
    <row r="546" spans="2:24" ht="17.7"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1190</v>
      </c>
      <c r="L546" s="28" t="s">
        <v>1193</v>
      </c>
      <c r="M546" s="20" t="s">
        <v>1194</v>
      </c>
      <c r="N546" s="47">
        <v>45485</v>
      </c>
      <c r="O546" s="20">
        <f>INDEX(Auxiliar!$D$5:$F$13,MATCH(Table1[[#This Row],[Tipologia_Testes]],Auxiliar!$B$5:$B$13,0),MATCH(Table1[[#This Row],[Complexidade]],Auxiliar!$D$4:$F$4,0))</f>
        <v>0.1</v>
      </c>
      <c r="P546" s="2"/>
      <c r="Q546" s="2" t="s">
        <v>1204</v>
      </c>
      <c r="R546" s="151">
        <v>45261</v>
      </c>
      <c r="S546" s="151"/>
      <c r="T546" s="151"/>
      <c r="U546" s="151"/>
      <c r="V546" s="151"/>
      <c r="W546" s="2">
        <f>VLOOKUP(Table1[[#This Row],[Status]],Auxiliar!$B$16:$D$24,3,0)*Table1[[#This Row],[Estimação (horas)]]</f>
        <v>0.1</v>
      </c>
      <c r="X546" s="2"/>
    </row>
    <row r="547" spans="2:24" ht="17.7"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1187</v>
      </c>
      <c r="L547" s="28" t="s">
        <v>1193</v>
      </c>
      <c r="M547" s="20" t="s">
        <v>1194</v>
      </c>
      <c r="N547" s="47">
        <v>45485</v>
      </c>
      <c r="O547" s="20">
        <f>INDEX(Auxiliar!$D$5:$F$13,MATCH(Table1[[#This Row],[Tipologia_Testes]],Auxiliar!$B$5:$B$13,0),MATCH(Table1[[#This Row],[Complexidade]],Auxiliar!$D$4:$F$4,0))</f>
        <v>2</v>
      </c>
      <c r="P547" s="2"/>
      <c r="Q547" s="2" t="s">
        <v>1204</v>
      </c>
      <c r="R547" s="151">
        <v>45261</v>
      </c>
      <c r="S547" s="151"/>
      <c r="T547" s="151"/>
      <c r="U547" s="151"/>
      <c r="V547" s="151"/>
      <c r="W547" s="2">
        <f>VLOOKUP(Table1[[#This Row],[Status]],Auxiliar!$B$16:$D$24,3,0)*Table1[[#This Row],[Estimação (horas)]]</f>
        <v>2</v>
      </c>
      <c r="X547" s="2"/>
    </row>
    <row r="548" spans="2:24" ht="17.7"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1188</v>
      </c>
      <c r="L548" s="28" t="s">
        <v>1193</v>
      </c>
      <c r="M548" s="20" t="s">
        <v>1194</v>
      </c>
      <c r="N548" s="47">
        <v>45485</v>
      </c>
      <c r="O548" s="20">
        <f>INDEX(Auxiliar!$D$5:$F$13,MATCH(Table1[[#This Row],[Tipologia_Testes]],Auxiliar!$B$5:$B$13,0),MATCH(Table1[[#This Row],[Complexidade]],Auxiliar!$D$4:$F$4,0))</f>
        <v>2</v>
      </c>
      <c r="P548" s="2"/>
      <c r="Q548" s="2" t="s">
        <v>1204</v>
      </c>
      <c r="R548" s="151">
        <v>45261</v>
      </c>
      <c r="S548" s="151"/>
      <c r="T548" s="151"/>
      <c r="U548" s="151"/>
      <c r="V548" s="151"/>
      <c r="W548" s="2">
        <f>VLOOKUP(Table1[[#This Row],[Status]],Auxiliar!$B$16:$D$24,3,0)*Table1[[#This Row],[Estimação (horas)]]</f>
        <v>2</v>
      </c>
      <c r="X548" s="2"/>
    </row>
    <row r="549" spans="2:24" ht="17.7"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1190</v>
      </c>
      <c r="L549" s="28" t="s">
        <v>1193</v>
      </c>
      <c r="M549" s="20" t="s">
        <v>1194</v>
      </c>
      <c r="N549" s="47">
        <v>45485</v>
      </c>
      <c r="O549" s="20">
        <f>INDEX(Auxiliar!$D$5:$F$13,MATCH(Table1[[#This Row],[Tipologia_Testes]],Auxiliar!$B$5:$B$13,0),MATCH(Table1[[#This Row],[Complexidade]],Auxiliar!$D$4:$F$4,0))</f>
        <v>0.1</v>
      </c>
      <c r="P549" s="2"/>
      <c r="Q549" s="2" t="s">
        <v>1204</v>
      </c>
      <c r="R549" s="151">
        <v>45261</v>
      </c>
      <c r="S549" s="151"/>
      <c r="T549" s="151"/>
      <c r="U549" s="151"/>
      <c r="V549" s="151"/>
      <c r="W549" s="2">
        <f>VLOOKUP(Table1[[#This Row],[Status]],Auxiliar!$B$16:$D$24,3,0)*Table1[[#This Row],[Estimação (horas)]]</f>
        <v>0.1</v>
      </c>
      <c r="X549" s="2"/>
    </row>
    <row r="550" spans="2:24" ht="17.7"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1187</v>
      </c>
      <c r="L550" s="28" t="s">
        <v>1193</v>
      </c>
      <c r="M550" s="20" t="s">
        <v>1194</v>
      </c>
      <c r="N550" s="47">
        <v>45485</v>
      </c>
      <c r="O550" s="20">
        <f>INDEX(Auxiliar!$D$5:$F$13,MATCH(Table1[[#This Row],[Tipologia_Testes]],Auxiliar!$B$5:$B$13,0),MATCH(Table1[[#This Row],[Complexidade]],Auxiliar!$D$4:$F$4,0))</f>
        <v>2</v>
      </c>
      <c r="P550" s="2"/>
      <c r="Q550" s="2" t="s">
        <v>1204</v>
      </c>
      <c r="R550" s="151">
        <v>45261</v>
      </c>
      <c r="S550" s="151"/>
      <c r="T550" s="151"/>
      <c r="U550" s="151"/>
      <c r="V550" s="151"/>
      <c r="W550" s="2">
        <f>VLOOKUP(Table1[[#This Row],[Status]],Auxiliar!$B$16:$D$24,3,0)*Table1[[#This Row],[Estimação (horas)]]</f>
        <v>2</v>
      </c>
      <c r="X550" s="2"/>
    </row>
    <row r="551" spans="2:24" ht="17.7"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1188</v>
      </c>
      <c r="L551" s="28" t="s">
        <v>1193</v>
      </c>
      <c r="M551" s="20" t="s">
        <v>1194</v>
      </c>
      <c r="N551" s="47">
        <v>45485</v>
      </c>
      <c r="O551" s="20">
        <f>INDEX(Auxiliar!$D$5:$F$13,MATCH(Table1[[#This Row],[Tipologia_Testes]],Auxiliar!$B$5:$B$13,0),MATCH(Table1[[#This Row],[Complexidade]],Auxiliar!$D$4:$F$4,0))</f>
        <v>2</v>
      </c>
      <c r="P551" s="2"/>
      <c r="Q551" s="2" t="s">
        <v>1204</v>
      </c>
      <c r="R551" s="151">
        <v>45261</v>
      </c>
      <c r="S551" s="151"/>
      <c r="T551" s="151"/>
      <c r="U551" s="151"/>
      <c r="V551" s="151"/>
      <c r="W551" s="2">
        <f>VLOOKUP(Table1[[#This Row],[Status]],Auxiliar!$B$16:$D$24,3,0)*Table1[[#This Row],[Estimação (horas)]]</f>
        <v>2</v>
      </c>
      <c r="X551" s="2"/>
    </row>
    <row r="552" spans="2:24" ht="17.7"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1190</v>
      </c>
      <c r="L552" s="28" t="s">
        <v>1193</v>
      </c>
      <c r="M552" s="20" t="s">
        <v>1194</v>
      </c>
      <c r="N552" s="47">
        <v>45485</v>
      </c>
      <c r="O552" s="20">
        <f>INDEX(Auxiliar!$D$5:$F$13,MATCH(Table1[[#This Row],[Tipologia_Testes]],Auxiliar!$B$5:$B$13,0),MATCH(Table1[[#This Row],[Complexidade]],Auxiliar!$D$4:$F$4,0))</f>
        <v>0.1</v>
      </c>
      <c r="P552" s="2"/>
      <c r="Q552" s="2" t="s">
        <v>1204</v>
      </c>
      <c r="R552" s="151">
        <v>45261</v>
      </c>
      <c r="S552" s="151"/>
      <c r="T552" s="151"/>
      <c r="U552" s="151"/>
      <c r="V552" s="151"/>
      <c r="W552" s="2">
        <f>VLOOKUP(Table1[[#This Row],[Status]],Auxiliar!$B$16:$D$24,3,0)*Table1[[#This Row],[Estimação (horas)]]</f>
        <v>0.1</v>
      </c>
      <c r="X552" s="2"/>
    </row>
    <row r="553" spans="2:24" ht="17.7"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1187</v>
      </c>
      <c r="L553" s="28" t="s">
        <v>1193</v>
      </c>
      <c r="M553" s="20" t="s">
        <v>1194</v>
      </c>
      <c r="N553" s="47">
        <v>45485</v>
      </c>
      <c r="O553" s="20">
        <f>INDEX(Auxiliar!$D$5:$F$13,MATCH(Table1[[#This Row],[Tipologia_Testes]],Auxiliar!$B$5:$B$13,0),MATCH(Table1[[#This Row],[Complexidade]],Auxiliar!$D$4:$F$4,0))</f>
        <v>2</v>
      </c>
      <c r="P553" s="2"/>
      <c r="Q553" s="2" t="s">
        <v>1204</v>
      </c>
      <c r="R553" s="151">
        <v>45261</v>
      </c>
      <c r="S553" s="151"/>
      <c r="T553" s="151"/>
      <c r="U553" s="151"/>
      <c r="V553" s="151"/>
      <c r="W553" s="2">
        <f>VLOOKUP(Table1[[#This Row],[Status]],Auxiliar!$B$16:$D$24,3,0)*Table1[[#This Row],[Estimação (horas)]]</f>
        <v>2</v>
      </c>
      <c r="X553" s="2"/>
    </row>
    <row r="554" spans="2:24" ht="17.7"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1188</v>
      </c>
      <c r="L554" s="28" t="s">
        <v>1193</v>
      </c>
      <c r="M554" s="20" t="s">
        <v>1194</v>
      </c>
      <c r="N554" s="47">
        <v>45485</v>
      </c>
      <c r="O554" s="20">
        <f>INDEX(Auxiliar!$D$5:$F$13,MATCH(Table1[[#This Row],[Tipologia_Testes]],Auxiliar!$B$5:$B$13,0),MATCH(Table1[[#This Row],[Complexidade]],Auxiliar!$D$4:$F$4,0))</f>
        <v>2</v>
      </c>
      <c r="P554" s="2"/>
      <c r="Q554" s="2" t="s">
        <v>1204</v>
      </c>
      <c r="R554" s="151">
        <v>45261</v>
      </c>
      <c r="S554" s="151"/>
      <c r="T554" s="151"/>
      <c r="U554" s="151"/>
      <c r="V554" s="151"/>
      <c r="W554" s="2">
        <f>VLOOKUP(Table1[[#This Row],[Status]],Auxiliar!$B$16:$D$24,3,0)*Table1[[#This Row],[Estimação (horas)]]</f>
        <v>2</v>
      </c>
      <c r="X554" s="2"/>
    </row>
    <row r="555" spans="2:24" ht="17.7"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1190</v>
      </c>
      <c r="L555" s="28" t="s">
        <v>1193</v>
      </c>
      <c r="M555" s="20" t="s">
        <v>1194</v>
      </c>
      <c r="N555" s="47">
        <v>45485</v>
      </c>
      <c r="O555" s="20">
        <f>INDEX(Auxiliar!$D$5:$F$13,MATCH(Table1[[#This Row],[Tipologia_Testes]],Auxiliar!$B$5:$B$13,0),MATCH(Table1[[#This Row],[Complexidade]],Auxiliar!$D$4:$F$4,0))</f>
        <v>0.1</v>
      </c>
      <c r="P555" s="2"/>
      <c r="Q555" s="2" t="s">
        <v>1204</v>
      </c>
      <c r="R555" s="151">
        <v>45261</v>
      </c>
      <c r="S555" s="151"/>
      <c r="T555" s="151"/>
      <c r="U555" s="151"/>
      <c r="V555" s="151"/>
      <c r="W555" s="2">
        <f>VLOOKUP(Table1[[#This Row],[Status]],Auxiliar!$B$16:$D$24,3,0)*Table1[[#This Row],[Estimação (horas)]]</f>
        <v>0.1</v>
      </c>
      <c r="X555" s="2"/>
    </row>
    <row r="556" spans="2:24" ht="17.7"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1187</v>
      </c>
      <c r="L556" s="28" t="s">
        <v>1193</v>
      </c>
      <c r="M556" s="20" t="s">
        <v>1194</v>
      </c>
      <c r="N556" s="47">
        <v>45485</v>
      </c>
      <c r="O556" s="20">
        <f>INDEX(Auxiliar!$D$5:$F$13,MATCH(Table1[[#This Row],[Tipologia_Testes]],Auxiliar!$B$5:$B$13,0),MATCH(Table1[[#This Row],[Complexidade]],Auxiliar!$D$4:$F$4,0))</f>
        <v>2</v>
      </c>
      <c r="P556" s="2"/>
      <c r="Q556" s="2" t="s">
        <v>1204</v>
      </c>
      <c r="R556" s="151">
        <v>45261</v>
      </c>
      <c r="S556" s="151"/>
      <c r="T556" s="151"/>
      <c r="U556" s="151"/>
      <c r="V556" s="151"/>
      <c r="W556" s="2">
        <f>VLOOKUP(Table1[[#This Row],[Status]],Auxiliar!$B$16:$D$24,3,0)*Table1[[#This Row],[Estimação (horas)]]</f>
        <v>2</v>
      </c>
      <c r="X556" s="2"/>
    </row>
    <row r="557" spans="2:24" ht="17.7"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1188</v>
      </c>
      <c r="L557" s="28" t="s">
        <v>1193</v>
      </c>
      <c r="M557" s="20" t="s">
        <v>1194</v>
      </c>
      <c r="N557" s="47">
        <v>45485</v>
      </c>
      <c r="O557" s="20">
        <f>INDEX(Auxiliar!$D$5:$F$13,MATCH(Table1[[#This Row],[Tipologia_Testes]],Auxiliar!$B$5:$B$13,0),MATCH(Table1[[#This Row],[Complexidade]],Auxiliar!$D$4:$F$4,0))</f>
        <v>2</v>
      </c>
      <c r="P557" s="2"/>
      <c r="Q557" s="2" t="s">
        <v>1204</v>
      </c>
      <c r="R557" s="151">
        <v>45261</v>
      </c>
      <c r="S557" s="151"/>
      <c r="T557" s="151"/>
      <c r="U557" s="151"/>
      <c r="V557" s="151"/>
      <c r="W557" s="2">
        <f>VLOOKUP(Table1[[#This Row],[Status]],Auxiliar!$B$16:$D$24,3,0)*Table1[[#This Row],[Estimação (horas)]]</f>
        <v>2</v>
      </c>
      <c r="X557" s="2"/>
    </row>
    <row r="558" spans="2:24" ht="17.7"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1190</v>
      </c>
      <c r="L558" s="28" t="s">
        <v>1193</v>
      </c>
      <c r="M558" s="20" t="s">
        <v>1194</v>
      </c>
      <c r="N558" s="47">
        <v>45485</v>
      </c>
      <c r="O558" s="20">
        <f>INDEX(Auxiliar!$D$5:$F$13,MATCH(Table1[[#This Row],[Tipologia_Testes]],Auxiliar!$B$5:$B$13,0),MATCH(Table1[[#This Row],[Complexidade]],Auxiliar!$D$4:$F$4,0))</f>
        <v>0.1</v>
      </c>
      <c r="P558" s="2"/>
      <c r="Q558" s="2" t="s">
        <v>1204</v>
      </c>
      <c r="R558" s="151">
        <v>45261</v>
      </c>
      <c r="S558" s="151"/>
      <c r="T558" s="151"/>
      <c r="U558" s="151"/>
      <c r="V558" s="151"/>
      <c r="W558" s="2">
        <f>VLOOKUP(Table1[[#This Row],[Status]],Auxiliar!$B$16:$D$24,3,0)*Table1[[#This Row],[Estimação (horas)]]</f>
        <v>0.1</v>
      </c>
      <c r="X558" s="2"/>
    </row>
    <row r="559" spans="2:24" ht="34.950000000000003"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1184</v>
      </c>
      <c r="L559" s="28" t="s">
        <v>1193</v>
      </c>
      <c r="M559" s="20" t="s">
        <v>1194</v>
      </c>
      <c r="N559" s="47">
        <v>45505</v>
      </c>
      <c r="O559" s="20">
        <f>INDEX(Auxiliar!$D$5:$F$13,MATCH(Table1[[#This Row],[Tipologia_Testes]],Auxiliar!$B$5:$B$13,0),MATCH(Table1[[#This Row],[Complexidade]],Auxiliar!$D$4:$F$4,0))</f>
        <v>8</v>
      </c>
      <c r="P559" s="22" t="s">
        <v>1216</v>
      </c>
      <c r="Q559" s="2"/>
      <c r="R559" s="151">
        <v>45261</v>
      </c>
      <c r="S559" s="151"/>
      <c r="T559" s="151"/>
      <c r="U559" s="151"/>
      <c r="V559" s="151"/>
      <c r="W559" s="2">
        <f>VLOOKUP(Table1[[#This Row],[Status]],Auxiliar!$B$16:$D$24,3,0)*Table1[[#This Row],[Estimação (horas)]]</f>
        <v>8</v>
      </c>
      <c r="X559" s="2"/>
    </row>
    <row r="560" spans="2:24" ht="17.7"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1187</v>
      </c>
      <c r="L560" s="28" t="s">
        <v>1193</v>
      </c>
      <c r="M560" s="20" t="s">
        <v>1194</v>
      </c>
      <c r="N560" s="47">
        <v>45485</v>
      </c>
      <c r="O560" s="20">
        <f>INDEX(Auxiliar!$D$5:$F$13,MATCH(Table1[[#This Row],[Tipologia_Testes]],Auxiliar!$B$5:$B$13,0),MATCH(Table1[[#This Row],[Complexidade]],Auxiliar!$D$4:$F$4,0))</f>
        <v>2</v>
      </c>
      <c r="P560" s="2" t="s">
        <v>1207</v>
      </c>
      <c r="Q560" s="2" t="s">
        <v>1204</v>
      </c>
      <c r="R560" s="151">
        <v>45261</v>
      </c>
      <c r="S560" s="151"/>
      <c r="T560" s="151"/>
      <c r="U560" s="151"/>
      <c r="V560" s="151"/>
      <c r="W560" s="2">
        <f>VLOOKUP(Table1[[#This Row],[Status]],Auxiliar!$B$16:$D$24,3,0)*Table1[[#This Row],[Estimação (horas)]]</f>
        <v>2</v>
      </c>
      <c r="X560" s="2"/>
    </row>
    <row r="561" spans="2:24" ht="17.7"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1188</v>
      </c>
      <c r="L561" s="28" t="s">
        <v>1193</v>
      </c>
      <c r="M561" s="20" t="s">
        <v>1194</v>
      </c>
      <c r="N561" s="47">
        <v>45485</v>
      </c>
      <c r="O561" s="20">
        <f>INDEX(Auxiliar!$D$5:$F$13,MATCH(Table1[[#This Row],[Tipologia_Testes]],Auxiliar!$B$5:$B$13,0),MATCH(Table1[[#This Row],[Complexidade]],Auxiliar!$D$4:$F$4,0))</f>
        <v>2</v>
      </c>
      <c r="P561" s="2" t="s">
        <v>1207</v>
      </c>
      <c r="Q561" s="2" t="s">
        <v>1204</v>
      </c>
      <c r="R561" s="151">
        <v>45261</v>
      </c>
      <c r="S561" s="151"/>
      <c r="T561" s="151"/>
      <c r="U561" s="151"/>
      <c r="V561" s="151"/>
      <c r="W561" s="2">
        <f>VLOOKUP(Table1[[#This Row],[Status]],Auxiliar!$B$16:$D$24,3,0)*Table1[[#This Row],[Estimação (horas)]]</f>
        <v>2</v>
      </c>
      <c r="X561" s="2"/>
    </row>
    <row r="562" spans="2:24" ht="17.7"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1190</v>
      </c>
      <c r="L562" s="28" t="s">
        <v>1193</v>
      </c>
      <c r="M562" s="20" t="s">
        <v>1194</v>
      </c>
      <c r="N562" s="47">
        <v>45485</v>
      </c>
      <c r="O562" s="20">
        <f>INDEX(Auxiliar!$D$5:$F$13,MATCH(Table1[[#This Row],[Tipologia_Testes]],Auxiliar!$B$5:$B$13,0),MATCH(Table1[[#This Row],[Complexidade]],Auxiliar!$D$4:$F$4,0))</f>
        <v>0.1</v>
      </c>
      <c r="P562" s="2" t="s">
        <v>1207</v>
      </c>
      <c r="Q562" s="2" t="s">
        <v>1204</v>
      </c>
      <c r="R562" s="151">
        <v>45261</v>
      </c>
      <c r="S562" s="151"/>
      <c r="T562" s="151"/>
      <c r="U562" s="151"/>
      <c r="V562" s="151"/>
      <c r="W562" s="2">
        <f>VLOOKUP(Table1[[#This Row],[Status]],Auxiliar!$B$16:$D$24,3,0)*Table1[[#This Row],[Estimação (horas)]]</f>
        <v>0.1</v>
      </c>
      <c r="X562" s="2"/>
    </row>
    <row r="563" spans="2:24" ht="17.7"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1187</v>
      </c>
      <c r="L563" s="28" t="s">
        <v>1193</v>
      </c>
      <c r="M563" s="20" t="s">
        <v>1194</v>
      </c>
      <c r="N563" s="47">
        <v>45485</v>
      </c>
      <c r="O563" s="20">
        <f>INDEX(Auxiliar!$D$5:$F$13,MATCH(Table1[[#This Row],[Tipologia_Testes]],Auxiliar!$B$5:$B$13,0),MATCH(Table1[[#This Row],[Complexidade]],Auxiliar!$D$4:$F$4,0))</f>
        <v>2</v>
      </c>
      <c r="P563" s="2" t="s">
        <v>1207</v>
      </c>
      <c r="Q563" s="2" t="s">
        <v>1204</v>
      </c>
      <c r="R563" s="151">
        <v>45261</v>
      </c>
      <c r="S563" s="151"/>
      <c r="T563" s="151"/>
      <c r="U563" s="151"/>
      <c r="V563" s="151"/>
      <c r="W563" s="2">
        <f>VLOOKUP(Table1[[#This Row],[Status]],Auxiliar!$B$16:$D$24,3,0)*Table1[[#This Row],[Estimação (horas)]]</f>
        <v>2</v>
      </c>
      <c r="X563" s="2"/>
    </row>
    <row r="564" spans="2:24" ht="17.7"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1188</v>
      </c>
      <c r="L564" s="28" t="s">
        <v>1193</v>
      </c>
      <c r="M564" s="20" t="s">
        <v>1194</v>
      </c>
      <c r="N564" s="47">
        <v>45485</v>
      </c>
      <c r="O564" s="20">
        <f>INDEX(Auxiliar!$D$5:$F$13,MATCH(Table1[[#This Row],[Tipologia_Testes]],Auxiliar!$B$5:$B$13,0),MATCH(Table1[[#This Row],[Complexidade]],Auxiliar!$D$4:$F$4,0))</f>
        <v>2</v>
      </c>
      <c r="P564" s="2" t="s">
        <v>1207</v>
      </c>
      <c r="Q564" s="2" t="s">
        <v>1204</v>
      </c>
      <c r="R564" s="151">
        <v>45261</v>
      </c>
      <c r="S564" s="151"/>
      <c r="T564" s="151"/>
      <c r="U564" s="151"/>
      <c r="V564" s="151"/>
      <c r="W564" s="2">
        <f>VLOOKUP(Table1[[#This Row],[Status]],Auxiliar!$B$16:$D$24,3,0)*Table1[[#This Row],[Estimação (horas)]]</f>
        <v>2</v>
      </c>
      <c r="X564" s="2"/>
    </row>
    <row r="565" spans="2:24" ht="17.7"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1190</v>
      </c>
      <c r="L565" s="28" t="s">
        <v>1193</v>
      </c>
      <c r="M565" s="20" t="s">
        <v>1194</v>
      </c>
      <c r="N565" s="47">
        <v>45485</v>
      </c>
      <c r="O565" s="20">
        <f>INDEX(Auxiliar!$D$5:$F$13,MATCH(Table1[[#This Row],[Tipologia_Testes]],Auxiliar!$B$5:$B$13,0),MATCH(Table1[[#This Row],[Complexidade]],Auxiliar!$D$4:$F$4,0))</f>
        <v>0.1</v>
      </c>
      <c r="P565" s="2" t="s">
        <v>1207</v>
      </c>
      <c r="Q565" s="2" t="s">
        <v>1204</v>
      </c>
      <c r="R565" s="151">
        <v>45261</v>
      </c>
      <c r="S565" s="151"/>
      <c r="T565" s="151"/>
      <c r="U565" s="151"/>
      <c r="V565" s="151"/>
      <c r="W565" s="2">
        <f>VLOOKUP(Table1[[#This Row],[Status]],Auxiliar!$B$16:$D$24,3,0)*Table1[[#This Row],[Estimação (horas)]]</f>
        <v>0.1</v>
      </c>
      <c r="X565" s="2"/>
    </row>
    <row r="566" spans="2:24" ht="17.7"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1187</v>
      </c>
      <c r="L566" s="28" t="s">
        <v>1193</v>
      </c>
      <c r="M566" s="20" t="s">
        <v>1194</v>
      </c>
      <c r="N566" s="47">
        <v>45485</v>
      </c>
      <c r="O566" s="20">
        <f>INDEX(Auxiliar!$D$5:$F$13,MATCH(Table1[[#This Row],[Tipologia_Testes]],Auxiliar!$B$5:$B$13,0),MATCH(Table1[[#This Row],[Complexidade]],Auxiliar!$D$4:$F$4,0))</f>
        <v>2</v>
      </c>
      <c r="P566" s="2" t="s">
        <v>1207</v>
      </c>
      <c r="Q566" s="2" t="s">
        <v>1204</v>
      </c>
      <c r="R566" s="151">
        <v>45261</v>
      </c>
      <c r="S566" s="151"/>
      <c r="T566" s="151"/>
      <c r="U566" s="151"/>
      <c r="V566" s="151"/>
      <c r="W566" s="2">
        <f>VLOOKUP(Table1[[#This Row],[Status]],Auxiliar!$B$16:$D$24,3,0)*Table1[[#This Row],[Estimação (horas)]]</f>
        <v>2</v>
      </c>
      <c r="X566" s="2"/>
    </row>
    <row r="567" spans="2:24" ht="17.7"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1188</v>
      </c>
      <c r="L567" s="28" t="s">
        <v>1193</v>
      </c>
      <c r="M567" s="20" t="s">
        <v>1194</v>
      </c>
      <c r="N567" s="47">
        <v>45485</v>
      </c>
      <c r="O567" s="20">
        <f>INDEX(Auxiliar!$D$5:$F$13,MATCH(Table1[[#This Row],[Tipologia_Testes]],Auxiliar!$B$5:$B$13,0),MATCH(Table1[[#This Row],[Complexidade]],Auxiliar!$D$4:$F$4,0))</f>
        <v>2</v>
      </c>
      <c r="P567" s="2" t="s">
        <v>1207</v>
      </c>
      <c r="Q567" s="2" t="s">
        <v>1204</v>
      </c>
      <c r="R567" s="151">
        <v>45261</v>
      </c>
      <c r="S567" s="151"/>
      <c r="T567" s="151"/>
      <c r="U567" s="151"/>
      <c r="V567" s="151"/>
      <c r="W567" s="2">
        <f>VLOOKUP(Table1[[#This Row],[Status]],Auxiliar!$B$16:$D$24,3,0)*Table1[[#This Row],[Estimação (horas)]]</f>
        <v>2</v>
      </c>
      <c r="X567" s="2"/>
    </row>
    <row r="568" spans="2:24" ht="17.7"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1190</v>
      </c>
      <c r="L568" s="28" t="s">
        <v>1193</v>
      </c>
      <c r="M568" s="20" t="s">
        <v>1194</v>
      </c>
      <c r="N568" s="47">
        <v>45485</v>
      </c>
      <c r="O568" s="20">
        <f>INDEX(Auxiliar!$D$5:$F$13,MATCH(Table1[[#This Row],[Tipologia_Testes]],Auxiliar!$B$5:$B$13,0),MATCH(Table1[[#This Row],[Complexidade]],Auxiliar!$D$4:$F$4,0))</f>
        <v>0.1</v>
      </c>
      <c r="P568" s="2" t="s">
        <v>1207</v>
      </c>
      <c r="Q568" s="2" t="s">
        <v>1204</v>
      </c>
      <c r="R568" s="151">
        <v>45261</v>
      </c>
      <c r="S568" s="151"/>
      <c r="T568" s="151"/>
      <c r="U568" s="151"/>
      <c r="V568" s="151"/>
      <c r="W568" s="2">
        <f>VLOOKUP(Table1[[#This Row],[Status]],Auxiliar!$B$16:$D$24,3,0)*Table1[[#This Row],[Estimação (horas)]]</f>
        <v>0.1</v>
      </c>
      <c r="X568" s="2"/>
    </row>
    <row r="569" spans="2:24" ht="17.7"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1187</v>
      </c>
      <c r="L569" s="28" t="s">
        <v>1193</v>
      </c>
      <c r="M569" s="20" t="s">
        <v>1194</v>
      </c>
      <c r="N569" s="47">
        <v>45485</v>
      </c>
      <c r="O569" s="20">
        <f>INDEX(Auxiliar!$D$5:$F$13,MATCH(Table1[[#This Row],[Tipologia_Testes]],Auxiliar!$B$5:$B$13,0),MATCH(Table1[[#This Row],[Complexidade]],Auxiliar!$D$4:$F$4,0))</f>
        <v>2</v>
      </c>
      <c r="P569" s="2" t="s">
        <v>1207</v>
      </c>
      <c r="Q569" s="2" t="s">
        <v>1204</v>
      </c>
      <c r="R569" s="151">
        <v>45261</v>
      </c>
      <c r="S569" s="151"/>
      <c r="T569" s="151"/>
      <c r="U569" s="151"/>
      <c r="V569" s="151"/>
      <c r="W569" s="2">
        <f>VLOOKUP(Table1[[#This Row],[Status]],Auxiliar!$B$16:$D$24,3,0)*Table1[[#This Row],[Estimação (horas)]]</f>
        <v>2</v>
      </c>
      <c r="X569" s="2"/>
    </row>
    <row r="570" spans="2:24" ht="17.7"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1188</v>
      </c>
      <c r="L570" s="28" t="s">
        <v>1193</v>
      </c>
      <c r="M570" s="20" t="s">
        <v>1194</v>
      </c>
      <c r="N570" s="47">
        <v>45485</v>
      </c>
      <c r="O570" s="20">
        <f>INDEX(Auxiliar!$D$5:$F$13,MATCH(Table1[[#This Row],[Tipologia_Testes]],Auxiliar!$B$5:$B$13,0),MATCH(Table1[[#This Row],[Complexidade]],Auxiliar!$D$4:$F$4,0))</f>
        <v>2</v>
      </c>
      <c r="P570" s="2" t="s">
        <v>1207</v>
      </c>
      <c r="Q570" s="2" t="s">
        <v>1204</v>
      </c>
      <c r="R570" s="151">
        <v>45261</v>
      </c>
      <c r="S570" s="151"/>
      <c r="T570" s="151"/>
      <c r="U570" s="151"/>
      <c r="V570" s="151"/>
      <c r="W570" s="2">
        <f>VLOOKUP(Table1[[#This Row],[Status]],Auxiliar!$B$16:$D$24,3,0)*Table1[[#This Row],[Estimação (horas)]]</f>
        <v>2</v>
      </c>
      <c r="X570" s="2"/>
    </row>
    <row r="571" spans="2:24" ht="17.7"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1190</v>
      </c>
      <c r="L571" s="28" t="s">
        <v>1193</v>
      </c>
      <c r="M571" s="20" t="s">
        <v>1194</v>
      </c>
      <c r="N571" s="47">
        <v>45485</v>
      </c>
      <c r="O571" s="20">
        <f>INDEX(Auxiliar!$D$5:$F$13,MATCH(Table1[[#This Row],[Tipologia_Testes]],Auxiliar!$B$5:$B$13,0),MATCH(Table1[[#This Row],[Complexidade]],Auxiliar!$D$4:$F$4,0))</f>
        <v>0.1</v>
      </c>
      <c r="P571" s="2" t="s">
        <v>1207</v>
      </c>
      <c r="Q571" s="2" t="s">
        <v>1204</v>
      </c>
      <c r="R571" s="151">
        <v>45261</v>
      </c>
      <c r="S571" s="151"/>
      <c r="T571" s="151"/>
      <c r="U571" s="151"/>
      <c r="V571" s="151"/>
      <c r="W571" s="2">
        <f>VLOOKUP(Table1[[#This Row],[Status]],Auxiliar!$B$16:$D$24,3,0)*Table1[[#This Row],[Estimação (horas)]]</f>
        <v>0.1</v>
      </c>
      <c r="X571" s="2"/>
    </row>
    <row r="572" spans="2:24" ht="17.7" hidden="1" customHeight="1">
      <c r="B572" s="2" t="s">
        <v>26</v>
      </c>
      <c r="C572" s="2" t="s">
        <v>310</v>
      </c>
      <c r="D572" s="2" t="s">
        <v>312</v>
      </c>
      <c r="E572" s="2" t="s">
        <v>38</v>
      </c>
      <c r="F572" s="2" t="s">
        <v>311</v>
      </c>
      <c r="G572" s="2" t="s">
        <v>282</v>
      </c>
      <c r="H572" s="56" t="str">
        <f>Table1[[#This Row],[Tabela]]&amp;Table1[[#This Row],[Campo]]</f>
        <v>modesg_out_bens_imoveisflg_rsc_fsc_agd</v>
      </c>
      <c r="I572" s="2" t="s">
        <v>1863</v>
      </c>
      <c r="J572" s="42">
        <f>VLOOKUP(Table1[[#This Row],[Status]],Auxiliar!$B$16:$C$24,2,0)</f>
        <v>3</v>
      </c>
      <c r="K572" s="2" t="s">
        <v>1187</v>
      </c>
      <c r="L572" s="28" t="s">
        <v>1193</v>
      </c>
      <c r="M572" s="20" t="s">
        <v>1186</v>
      </c>
      <c r="N572" s="47">
        <v>45667</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7" hidden="1" customHeight="1">
      <c r="B573" s="2" t="s">
        <v>26</v>
      </c>
      <c r="C573" s="2" t="s">
        <v>310</v>
      </c>
      <c r="D573" s="2" t="s">
        <v>312</v>
      </c>
      <c r="E573" s="2" t="s">
        <v>38</v>
      </c>
      <c r="F573" s="2" t="s">
        <v>311</v>
      </c>
      <c r="G573" s="2" t="s">
        <v>282</v>
      </c>
      <c r="H573" s="56" t="str">
        <f>Table1[[#This Row],[Tabela]]&amp;Table1[[#This Row],[Campo]]</f>
        <v>modesg_out_bens_imoveisflg_rsc_fsc_agd</v>
      </c>
      <c r="I573" s="2" t="s">
        <v>1863</v>
      </c>
      <c r="J573" s="42">
        <f>VLOOKUP(Table1[[#This Row],[Status]],Auxiliar!$B$16:$C$24,2,0)</f>
        <v>3</v>
      </c>
      <c r="K573" s="2" t="s">
        <v>1188</v>
      </c>
      <c r="L573" s="28" t="s">
        <v>1193</v>
      </c>
      <c r="M573" s="20" t="s">
        <v>1186</v>
      </c>
      <c r="N573" s="47">
        <v>45674</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7" hidden="1" customHeight="1">
      <c r="B574" s="2" t="s">
        <v>26</v>
      </c>
      <c r="C574" s="2" t="s">
        <v>310</v>
      </c>
      <c r="D574" s="2" t="s">
        <v>312</v>
      </c>
      <c r="E574" s="2" t="s">
        <v>38</v>
      </c>
      <c r="F574" s="2" t="s">
        <v>311</v>
      </c>
      <c r="G574" s="2" t="s">
        <v>282</v>
      </c>
      <c r="H574" s="56" t="str">
        <f>Table1[[#This Row],[Tabela]]&amp;Table1[[#This Row],[Campo]]</f>
        <v>modesg_out_bens_imoveisflg_rsc_fsc_agd</v>
      </c>
      <c r="I574" s="2" t="s">
        <v>1863</v>
      </c>
      <c r="J574" s="42">
        <f>VLOOKUP(Table1[[#This Row],[Status]],Auxiliar!$B$16:$C$24,2,0)</f>
        <v>3</v>
      </c>
      <c r="K574" s="2" t="s">
        <v>1190</v>
      </c>
      <c r="L574" s="28" t="s">
        <v>1193</v>
      </c>
      <c r="M574" s="20" t="s">
        <v>1186</v>
      </c>
      <c r="N574" s="47">
        <v>45674</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7" hidden="1" customHeight="1">
      <c r="B575" s="2" t="s">
        <v>26</v>
      </c>
      <c r="C575" s="2" t="s">
        <v>310</v>
      </c>
      <c r="D575" s="2" t="s">
        <v>312</v>
      </c>
      <c r="E575" s="2" t="s">
        <v>38</v>
      </c>
      <c r="F575" s="2" t="s">
        <v>311</v>
      </c>
      <c r="G575" s="2" t="s">
        <v>283</v>
      </c>
      <c r="H575" s="56" t="str">
        <f>Table1[[#This Row],[Tabela]]&amp;Table1[[#This Row],[Campo]]</f>
        <v>modesg_out_bens_imoveisflg_rsc_fsc_crnc</v>
      </c>
      <c r="I575" s="2" t="s">
        <v>1863</v>
      </c>
      <c r="J575" s="42">
        <f>VLOOKUP(Table1[[#This Row],[Status]],Auxiliar!$B$16:$C$24,2,0)</f>
        <v>3</v>
      </c>
      <c r="K575" s="2" t="s">
        <v>1187</v>
      </c>
      <c r="L575" s="28" t="s">
        <v>1193</v>
      </c>
      <c r="M575" s="20" t="s">
        <v>1186</v>
      </c>
      <c r="N575" s="47">
        <v>45674</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7" hidden="1" customHeight="1">
      <c r="B576" s="2" t="s">
        <v>26</v>
      </c>
      <c r="C576" s="2" t="s">
        <v>310</v>
      </c>
      <c r="D576" s="2" t="s">
        <v>312</v>
      </c>
      <c r="E576" s="2" t="s">
        <v>38</v>
      </c>
      <c r="F576" s="2" t="s">
        <v>311</v>
      </c>
      <c r="G576" s="2" t="s">
        <v>283</v>
      </c>
      <c r="H576" s="56" t="str">
        <f>Table1[[#This Row],[Tabela]]&amp;Table1[[#This Row],[Campo]]</f>
        <v>modesg_out_bens_imoveisflg_rsc_fsc_crnc</v>
      </c>
      <c r="I576" s="2" t="s">
        <v>1863</v>
      </c>
      <c r="J576" s="42">
        <f>VLOOKUP(Table1[[#This Row],[Status]],Auxiliar!$B$16:$C$24,2,0)</f>
        <v>3</v>
      </c>
      <c r="K576" s="2" t="s">
        <v>1188</v>
      </c>
      <c r="L576" s="28" t="s">
        <v>1193</v>
      </c>
      <c r="M576" s="20" t="s">
        <v>1186</v>
      </c>
      <c r="N576" s="47">
        <v>45674</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7" hidden="1" customHeight="1">
      <c r="B577" s="2" t="s">
        <v>26</v>
      </c>
      <c r="C577" s="2" t="s">
        <v>310</v>
      </c>
      <c r="D577" s="2" t="s">
        <v>312</v>
      </c>
      <c r="E577" s="2" t="s">
        <v>38</v>
      </c>
      <c r="F577" s="2" t="s">
        <v>311</v>
      </c>
      <c r="G577" s="2" t="s">
        <v>283</v>
      </c>
      <c r="H577" s="56" t="str">
        <f>Table1[[#This Row],[Tabela]]&amp;Table1[[#This Row],[Campo]]</f>
        <v>modesg_out_bens_imoveisflg_rsc_fsc_crnc</v>
      </c>
      <c r="I577" s="2" t="s">
        <v>1863</v>
      </c>
      <c r="J577" s="42">
        <f>VLOOKUP(Table1[[#This Row],[Status]],Auxiliar!$B$16:$C$24,2,0)</f>
        <v>3</v>
      </c>
      <c r="K577" s="2" t="s">
        <v>1190</v>
      </c>
      <c r="L577" s="28" t="s">
        <v>1193</v>
      </c>
      <c r="M577" s="20" t="s">
        <v>1186</v>
      </c>
      <c r="N577" s="47">
        <v>45674</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2" hidden="1" customHeight="1">
      <c r="B578" s="2" t="s">
        <v>26</v>
      </c>
      <c r="C578" s="2" t="s">
        <v>310</v>
      </c>
      <c r="D578" s="2" t="s">
        <v>312</v>
      </c>
      <c r="E578" s="2" t="s">
        <v>38</v>
      </c>
      <c r="F578" s="2" t="s">
        <v>311</v>
      </c>
      <c r="G578" s="2" t="s">
        <v>317</v>
      </c>
      <c r="H578" s="56" t="str">
        <f>Table1[[#This Row],[Tabela]]&amp;Table1[[#This Row],[Campo]]</f>
        <v>modesg_out_bens_imoveisorigem_flg_rsc_fsc_agd</v>
      </c>
      <c r="I578" s="2" t="s">
        <v>612</v>
      </c>
      <c r="J578" s="42">
        <f>VLOOKUP(Table1[[#This Row],[Status]],Auxiliar!$B$16:$C$24,2,0)</f>
        <v>1</v>
      </c>
      <c r="K578" s="2" t="s">
        <v>1187</v>
      </c>
      <c r="L578" s="28" t="s">
        <v>1185</v>
      </c>
      <c r="M578" s="20" t="s">
        <v>1194</v>
      </c>
      <c r="N578" s="47">
        <v>45674</v>
      </c>
      <c r="O578" s="20">
        <f>INDEX(Auxiliar!$D$5:$F$13,MATCH(Table1[[#This Row],[Tipologia_Testes]],Auxiliar!$B$5:$B$13,0),MATCH(Table1[[#This Row],[Complexidade]],Auxiliar!$D$4:$F$4,0))</f>
        <v>2</v>
      </c>
      <c r="P578" s="22" t="s">
        <v>1217</v>
      </c>
      <c r="Q578" s="2"/>
      <c r="R578" s="151">
        <v>45561</v>
      </c>
      <c r="S578" s="151"/>
      <c r="T578" s="151">
        <v>45569</v>
      </c>
      <c r="U578" s="151">
        <v>45621</v>
      </c>
      <c r="V578" s="151">
        <v>45631</v>
      </c>
      <c r="W578" s="2">
        <f>VLOOKUP(Table1[[#This Row],[Status]],Auxiliar!$B$16:$D$24,3,0)*Table1[[#This Row],[Estimação (horas)]]</f>
        <v>2</v>
      </c>
      <c r="X578" s="2"/>
    </row>
    <row r="579" spans="2:24" ht="52.2" hidden="1" customHeight="1">
      <c r="B579" s="2" t="s">
        <v>26</v>
      </c>
      <c r="C579" s="2" t="s">
        <v>310</v>
      </c>
      <c r="D579" s="2" t="s">
        <v>312</v>
      </c>
      <c r="E579" s="2" t="s">
        <v>38</v>
      </c>
      <c r="F579" s="2" t="s">
        <v>311</v>
      </c>
      <c r="G579" s="2" t="s">
        <v>317</v>
      </c>
      <c r="H579" s="56" t="str">
        <f>Table1[[#This Row],[Tabela]]&amp;Table1[[#This Row],[Campo]]</f>
        <v>modesg_out_bens_imoveisorigem_flg_rsc_fsc_agd</v>
      </c>
      <c r="I579" s="2" t="s">
        <v>612</v>
      </c>
      <c r="J579" s="42">
        <f>VLOOKUP(Table1[[#This Row],[Status]],Auxiliar!$B$16:$C$24,2,0)</f>
        <v>1</v>
      </c>
      <c r="K579" s="2" t="s">
        <v>1188</v>
      </c>
      <c r="L579" s="28" t="s">
        <v>1185</v>
      </c>
      <c r="M579" s="20" t="s">
        <v>1194</v>
      </c>
      <c r="N579" s="47">
        <v>45674</v>
      </c>
      <c r="O579" s="20">
        <f>INDEX(Auxiliar!$D$5:$F$13,MATCH(Table1[[#This Row],[Tipologia_Testes]],Auxiliar!$B$5:$B$13,0),MATCH(Table1[[#This Row],[Complexidade]],Auxiliar!$D$4:$F$4,0))</f>
        <v>2</v>
      </c>
      <c r="P579" s="22" t="s">
        <v>1217</v>
      </c>
      <c r="Q579" s="2"/>
      <c r="R579" s="151">
        <v>45561</v>
      </c>
      <c r="S579" s="151"/>
      <c r="T579" s="151">
        <v>45569</v>
      </c>
      <c r="U579" s="151">
        <v>45621</v>
      </c>
      <c r="V579" s="151">
        <v>45631</v>
      </c>
      <c r="W579" s="2">
        <f>VLOOKUP(Table1[[#This Row],[Status]],Auxiliar!$B$16:$D$24,3,0)*Table1[[#This Row],[Estimação (horas)]]</f>
        <v>2</v>
      </c>
      <c r="X579" s="2"/>
    </row>
    <row r="580" spans="2:24" ht="52.2"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612</v>
      </c>
      <c r="J580" s="42">
        <f>VLOOKUP(Table1[[#This Row],[Status]],Auxiliar!$B$16:$C$24,2,0)</f>
        <v>1</v>
      </c>
      <c r="K580" s="2" t="s">
        <v>1190</v>
      </c>
      <c r="L580" s="28" t="s">
        <v>1185</v>
      </c>
      <c r="M580" s="20" t="s">
        <v>1194</v>
      </c>
      <c r="N580" s="47">
        <v>45674</v>
      </c>
      <c r="O580" s="20">
        <f>INDEX(Auxiliar!$D$5:$F$13,MATCH(Table1[[#This Row],[Tipologia_Testes]],Auxiliar!$B$5:$B$13,0),MATCH(Table1[[#This Row],[Complexidade]],Auxiliar!$D$4:$F$4,0))</f>
        <v>0.1</v>
      </c>
      <c r="P580" s="22" t="s">
        <v>1217</v>
      </c>
      <c r="Q580" s="2"/>
      <c r="R580" s="151">
        <v>45561</v>
      </c>
      <c r="S580" s="151"/>
      <c r="T580" s="151">
        <v>45569</v>
      </c>
      <c r="U580" s="151">
        <v>45621</v>
      </c>
      <c r="V580" s="151">
        <v>45631</v>
      </c>
      <c r="W580" s="2">
        <f>VLOOKUP(Table1[[#This Row],[Status]],Auxiliar!$B$16:$D$24,3,0)*Table1[[#This Row],[Estimação (horas)]]</f>
        <v>0.1</v>
      </c>
      <c r="X580" s="2"/>
    </row>
    <row r="581" spans="2:24" ht="52.2" hidden="1" customHeight="1">
      <c r="B581" s="2" t="s">
        <v>26</v>
      </c>
      <c r="C581" s="2" t="s">
        <v>310</v>
      </c>
      <c r="D581" s="2" t="s">
        <v>312</v>
      </c>
      <c r="E581" s="2" t="s">
        <v>38</v>
      </c>
      <c r="F581" s="2" t="s">
        <v>311</v>
      </c>
      <c r="G581" s="2" t="s">
        <v>318</v>
      </c>
      <c r="H581" s="56" t="str">
        <f>Table1[[#This Row],[Tabela]]&amp;Table1[[#This Row],[Campo]]</f>
        <v>modesg_out_bens_imoveisorigem_flg_rsc_fsc_crnc</v>
      </c>
      <c r="I581" s="2" t="s">
        <v>612</v>
      </c>
      <c r="J581" s="42">
        <f>VLOOKUP(Table1[[#This Row],[Status]],Auxiliar!$B$16:$C$24,2,0)</f>
        <v>1</v>
      </c>
      <c r="K581" s="2" t="s">
        <v>1187</v>
      </c>
      <c r="L581" s="28" t="s">
        <v>1185</v>
      </c>
      <c r="M581" s="20" t="s">
        <v>1194</v>
      </c>
      <c r="N581" s="47">
        <v>45674</v>
      </c>
      <c r="O581" s="20">
        <f>INDEX(Auxiliar!$D$5:$F$13,MATCH(Table1[[#This Row],[Tipologia_Testes]],Auxiliar!$B$5:$B$13,0),MATCH(Table1[[#This Row],[Complexidade]],Auxiliar!$D$4:$F$4,0))</f>
        <v>2</v>
      </c>
      <c r="P581" s="22" t="s">
        <v>1217</v>
      </c>
      <c r="Q581" s="2"/>
      <c r="R581" s="151">
        <v>45561</v>
      </c>
      <c r="S581" s="151"/>
      <c r="T581" s="151">
        <v>45569</v>
      </c>
      <c r="U581" s="151">
        <v>45621</v>
      </c>
      <c r="V581" s="151">
        <v>45631</v>
      </c>
      <c r="W581" s="2">
        <f>VLOOKUP(Table1[[#This Row],[Status]],Auxiliar!$B$16:$D$24,3,0)*Table1[[#This Row],[Estimação (horas)]]</f>
        <v>2</v>
      </c>
      <c r="X581" s="2"/>
    </row>
    <row r="582" spans="2:24" ht="52.2" hidden="1" customHeight="1">
      <c r="B582" s="2" t="s">
        <v>26</v>
      </c>
      <c r="C582" s="2" t="s">
        <v>310</v>
      </c>
      <c r="D582" s="2" t="s">
        <v>312</v>
      </c>
      <c r="E582" s="2" t="s">
        <v>38</v>
      </c>
      <c r="F582" s="2" t="s">
        <v>311</v>
      </c>
      <c r="G582" s="2" t="s">
        <v>318</v>
      </c>
      <c r="H582" s="56" t="str">
        <f>Table1[[#This Row],[Tabela]]&amp;Table1[[#This Row],[Campo]]</f>
        <v>modesg_out_bens_imoveisorigem_flg_rsc_fsc_crnc</v>
      </c>
      <c r="I582" s="2" t="s">
        <v>612</v>
      </c>
      <c r="J582" s="42">
        <f>VLOOKUP(Table1[[#This Row],[Status]],Auxiliar!$B$16:$C$24,2,0)</f>
        <v>1</v>
      </c>
      <c r="K582" s="2" t="s">
        <v>1188</v>
      </c>
      <c r="L582" s="28" t="s">
        <v>1185</v>
      </c>
      <c r="M582" s="20" t="s">
        <v>1194</v>
      </c>
      <c r="N582" s="47">
        <v>45674</v>
      </c>
      <c r="O582" s="20">
        <f>INDEX(Auxiliar!$D$5:$F$13,MATCH(Table1[[#This Row],[Tipologia_Testes]],Auxiliar!$B$5:$B$13,0),MATCH(Table1[[#This Row],[Complexidade]],Auxiliar!$D$4:$F$4,0))</f>
        <v>2</v>
      </c>
      <c r="P582" s="22" t="s">
        <v>1217</v>
      </c>
      <c r="Q582" s="2"/>
      <c r="R582" s="151">
        <v>45561</v>
      </c>
      <c r="S582" s="151"/>
      <c r="T582" s="151">
        <v>45569</v>
      </c>
      <c r="U582" s="151">
        <v>45621</v>
      </c>
      <c r="V582" s="151">
        <v>45631</v>
      </c>
      <c r="W582" s="2">
        <f>VLOOKUP(Table1[[#This Row],[Status]],Auxiliar!$B$16:$D$24,3,0)*Table1[[#This Row],[Estimação (horas)]]</f>
        <v>2</v>
      </c>
      <c r="X582" s="2"/>
    </row>
    <row r="583" spans="2:24" ht="52.2"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612</v>
      </c>
      <c r="J583" s="42">
        <f>VLOOKUP(Table1[[#This Row],[Status]],Auxiliar!$B$16:$C$24,2,0)</f>
        <v>1</v>
      </c>
      <c r="K583" s="2" t="s">
        <v>1190</v>
      </c>
      <c r="L583" s="28" t="s">
        <v>1185</v>
      </c>
      <c r="M583" s="20" t="s">
        <v>1194</v>
      </c>
      <c r="N583" s="47">
        <v>45674</v>
      </c>
      <c r="O583" s="20">
        <f>INDEX(Auxiliar!$D$5:$F$13,MATCH(Table1[[#This Row],[Tipologia_Testes]],Auxiliar!$B$5:$B$13,0),MATCH(Table1[[#This Row],[Complexidade]],Auxiliar!$D$4:$F$4,0))</f>
        <v>0.1</v>
      </c>
      <c r="P583" s="22" t="s">
        <v>1217</v>
      </c>
      <c r="Q583" s="2"/>
      <c r="R583" s="151">
        <v>45561</v>
      </c>
      <c r="S583" s="151"/>
      <c r="T583" s="151">
        <v>45569</v>
      </c>
      <c r="U583" s="151">
        <v>45621</v>
      </c>
      <c r="V583" s="151">
        <v>45631</v>
      </c>
      <c r="W583" s="2">
        <f>VLOOKUP(Table1[[#This Row],[Status]],Auxiliar!$B$16:$D$24,3,0)*Table1[[#This Row],[Estimação (horas)]]</f>
        <v>0.1</v>
      </c>
      <c r="X583" s="2"/>
    </row>
    <row r="584" spans="2:24" ht="52.2"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1187</v>
      </c>
      <c r="L584" s="28" t="s">
        <v>1185</v>
      </c>
      <c r="M584" s="20" t="s">
        <v>1194</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2"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1188</v>
      </c>
      <c r="L585" s="28" t="s">
        <v>1185</v>
      </c>
      <c r="M585" s="20" t="s">
        <v>1194</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2"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1190</v>
      </c>
      <c r="L586" s="28" t="s">
        <v>1185</v>
      </c>
      <c r="M586" s="20" t="s">
        <v>1194</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2"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1187</v>
      </c>
      <c r="L587" s="28" t="s">
        <v>1185</v>
      </c>
      <c r="M587" s="20" t="s">
        <v>1194</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2"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1188</v>
      </c>
      <c r="L588" s="28" t="s">
        <v>1185</v>
      </c>
      <c r="M588" s="20" t="s">
        <v>1194</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2"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1190</v>
      </c>
      <c r="L589" s="28" t="s">
        <v>1185</v>
      </c>
      <c r="M589" s="20" t="s">
        <v>1194</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2"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1187</v>
      </c>
      <c r="L590" s="28" t="s">
        <v>1193</v>
      </c>
      <c r="M590" s="20" t="s">
        <v>1194</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2"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1188</v>
      </c>
      <c r="L591" s="28" t="s">
        <v>1193</v>
      </c>
      <c r="M591" s="20" t="s">
        <v>1194</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2"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1190</v>
      </c>
      <c r="L592" s="28" t="s">
        <v>1193</v>
      </c>
      <c r="M592" s="20" t="s">
        <v>1194</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7"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1187</v>
      </c>
      <c r="L593" s="28" t="s">
        <v>1193</v>
      </c>
      <c r="M593" s="20" t="s">
        <v>1194</v>
      </c>
      <c r="N593" s="47">
        <v>45485</v>
      </c>
      <c r="O593" s="20">
        <f>INDEX(Auxiliar!$D$5:$F$13,MATCH(Table1[[#This Row],[Tipologia_Testes]],Auxiliar!$B$5:$B$13,0),MATCH(Table1[[#This Row],[Complexidade]],Auxiliar!$D$4:$F$4,0))</f>
        <v>2</v>
      </c>
      <c r="P593" s="2"/>
      <c r="Q593" s="2" t="s">
        <v>1204</v>
      </c>
      <c r="R593" s="151">
        <v>45261</v>
      </c>
      <c r="S593" s="151"/>
      <c r="T593" s="151"/>
      <c r="U593" s="151"/>
      <c r="V593" s="151"/>
      <c r="W593" s="2">
        <f>VLOOKUP(Table1[[#This Row],[Status]],Auxiliar!$B$16:$D$24,3,0)*Table1[[#This Row],[Estimação (horas)]]</f>
        <v>2</v>
      </c>
      <c r="X593" s="2"/>
    </row>
    <row r="594" spans="2:24" ht="17.7"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1188</v>
      </c>
      <c r="L594" s="28" t="s">
        <v>1193</v>
      </c>
      <c r="M594" s="20" t="s">
        <v>1194</v>
      </c>
      <c r="N594" s="47">
        <v>45485</v>
      </c>
      <c r="O594" s="20">
        <f>INDEX(Auxiliar!$D$5:$F$13,MATCH(Table1[[#This Row],[Tipologia_Testes]],Auxiliar!$B$5:$B$13,0),MATCH(Table1[[#This Row],[Complexidade]],Auxiliar!$D$4:$F$4,0))</f>
        <v>2</v>
      </c>
      <c r="P594" s="2"/>
      <c r="Q594" s="2" t="s">
        <v>1204</v>
      </c>
      <c r="R594" s="151">
        <v>45261</v>
      </c>
      <c r="S594" s="151"/>
      <c r="T594" s="151"/>
      <c r="U594" s="151"/>
      <c r="V594" s="151"/>
      <c r="W594" s="2">
        <f>VLOOKUP(Table1[[#This Row],[Status]],Auxiliar!$B$16:$D$24,3,0)*Table1[[#This Row],[Estimação (horas)]]</f>
        <v>2</v>
      </c>
      <c r="X594" s="2"/>
    </row>
    <row r="595" spans="2:24" ht="17.7"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1190</v>
      </c>
      <c r="L595" s="28" t="s">
        <v>1193</v>
      </c>
      <c r="M595" s="20" t="s">
        <v>1194</v>
      </c>
      <c r="N595" s="47">
        <v>45485</v>
      </c>
      <c r="O595" s="20">
        <f>INDEX(Auxiliar!$D$5:$F$13,MATCH(Table1[[#This Row],[Tipologia_Testes]],Auxiliar!$B$5:$B$13,0),MATCH(Table1[[#This Row],[Complexidade]],Auxiliar!$D$4:$F$4,0))</f>
        <v>0.1</v>
      </c>
      <c r="P595" s="2"/>
      <c r="Q595" s="2" t="s">
        <v>1204</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1187</v>
      </c>
      <c r="L596" s="28" t="s">
        <v>1185</v>
      </c>
      <c r="M596" s="20" t="s">
        <v>1195</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1188</v>
      </c>
      <c r="L597" s="28" t="s">
        <v>1185</v>
      </c>
      <c r="M597" s="20" t="s">
        <v>1195</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1190</v>
      </c>
      <c r="L598" s="28" t="s">
        <v>1185</v>
      </c>
      <c r="M598" s="20" t="s">
        <v>1195</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1187</v>
      </c>
      <c r="L599" s="28" t="s">
        <v>1185</v>
      </c>
      <c r="M599" s="20" t="s">
        <v>1195</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1188</v>
      </c>
      <c r="L600" s="28" t="s">
        <v>1185</v>
      </c>
      <c r="M600" s="20" t="s">
        <v>1195</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1190</v>
      </c>
      <c r="L601" s="28" t="s">
        <v>1185</v>
      </c>
      <c r="M601" s="20" t="s">
        <v>1195</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7"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1187</v>
      </c>
      <c r="L602" s="28" t="s">
        <v>1193</v>
      </c>
      <c r="M602" s="20" t="s">
        <v>1194</v>
      </c>
      <c r="N602" s="47">
        <v>45485</v>
      </c>
      <c r="O602" s="20">
        <f>INDEX(Auxiliar!$D$5:$F$13,MATCH(Table1[[#This Row],[Tipologia_Testes]],Auxiliar!$B$5:$B$13,0),MATCH(Table1[[#This Row],[Complexidade]],Auxiliar!$D$4:$F$4,0))</f>
        <v>2</v>
      </c>
      <c r="P602" s="22"/>
      <c r="Q602" s="2" t="s">
        <v>1204</v>
      </c>
      <c r="R602" s="151">
        <v>45261</v>
      </c>
      <c r="S602" s="151"/>
      <c r="T602" s="151"/>
      <c r="U602" s="151"/>
      <c r="V602" s="151"/>
      <c r="W602" s="2">
        <f>VLOOKUP(Table1[[#This Row],[Status]],Auxiliar!$B$16:$D$24,3,0)*Table1[[#This Row],[Estimação (horas)]]</f>
        <v>2</v>
      </c>
      <c r="X602" s="2"/>
    </row>
    <row r="603" spans="2:24" ht="17.7"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1188</v>
      </c>
      <c r="L603" s="28" t="s">
        <v>1193</v>
      </c>
      <c r="M603" s="20" t="s">
        <v>1194</v>
      </c>
      <c r="N603" s="47">
        <v>45485</v>
      </c>
      <c r="O603" s="20">
        <f>INDEX(Auxiliar!$D$5:$F$13,MATCH(Table1[[#This Row],[Tipologia_Testes]],Auxiliar!$B$5:$B$13,0),MATCH(Table1[[#This Row],[Complexidade]],Auxiliar!$D$4:$F$4,0))</f>
        <v>2</v>
      </c>
      <c r="P603" s="22"/>
      <c r="Q603" s="2" t="s">
        <v>1204</v>
      </c>
      <c r="R603" s="151">
        <v>45261</v>
      </c>
      <c r="S603" s="151"/>
      <c r="T603" s="151"/>
      <c r="U603" s="151"/>
      <c r="V603" s="151"/>
      <c r="W603" s="2">
        <f>VLOOKUP(Table1[[#This Row],[Status]],Auxiliar!$B$16:$D$24,3,0)*Table1[[#This Row],[Estimação (horas)]]</f>
        <v>2</v>
      </c>
      <c r="X603" s="2"/>
    </row>
    <row r="604" spans="2:24" ht="17.7"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1190</v>
      </c>
      <c r="L604" s="28" t="s">
        <v>1193</v>
      </c>
      <c r="M604" s="20" t="s">
        <v>1194</v>
      </c>
      <c r="N604" s="47">
        <v>45485</v>
      </c>
      <c r="O604" s="20">
        <f>INDEX(Auxiliar!$D$5:$F$13,MATCH(Table1[[#This Row],[Tipologia_Testes]],Auxiliar!$B$5:$B$13,0),MATCH(Table1[[#This Row],[Complexidade]],Auxiliar!$D$4:$F$4,0))</f>
        <v>0.1</v>
      </c>
      <c r="P604" s="22"/>
      <c r="Q604" s="2" t="s">
        <v>1204</v>
      </c>
      <c r="R604" s="151">
        <v>45261</v>
      </c>
      <c r="S604" s="151"/>
      <c r="T604" s="151"/>
      <c r="U604" s="151"/>
      <c r="V604" s="151"/>
      <c r="W604" s="2">
        <f>VLOOKUP(Table1[[#This Row],[Status]],Auxiliar!$B$16:$D$24,3,0)*Table1[[#This Row],[Estimação (horas)]]</f>
        <v>0.1</v>
      </c>
      <c r="X604" s="2"/>
    </row>
    <row r="605" spans="2:24" ht="52.2"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1187</v>
      </c>
      <c r="L605" s="28" t="s">
        <v>1185</v>
      </c>
      <c r="M605" s="20" t="s">
        <v>1194</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2"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1188</v>
      </c>
      <c r="L606" s="28" t="s">
        <v>1185</v>
      </c>
      <c r="M606" s="20" t="s">
        <v>1194</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2"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1190</v>
      </c>
      <c r="L607" s="28" t="s">
        <v>1185</v>
      </c>
      <c r="M607" s="20" t="s">
        <v>1194</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2"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1187</v>
      </c>
      <c r="L608" s="28" t="s">
        <v>1185</v>
      </c>
      <c r="M608" s="20" t="s">
        <v>1194</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2"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1188</v>
      </c>
      <c r="L609" s="28" t="s">
        <v>1185</v>
      </c>
      <c r="M609" s="20" t="s">
        <v>1194</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2"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1190</v>
      </c>
      <c r="L610" s="28" t="s">
        <v>1185</v>
      </c>
      <c r="M610" s="20" t="s">
        <v>1194</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2"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1187</v>
      </c>
      <c r="L611" s="28" t="s">
        <v>1185</v>
      </c>
      <c r="M611" s="20" t="s">
        <v>1194</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2"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1188</v>
      </c>
      <c r="L612" s="28" t="s">
        <v>1185</v>
      </c>
      <c r="M612" s="20" t="s">
        <v>1194</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2"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1190</v>
      </c>
      <c r="L613" s="28" t="s">
        <v>1185</v>
      </c>
      <c r="M613" s="20" t="s">
        <v>1194</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6.95"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1184</v>
      </c>
      <c r="L614" s="28" t="s">
        <v>1193</v>
      </c>
      <c r="M614" s="20" t="s">
        <v>1195</v>
      </c>
      <c r="N614" s="47">
        <v>45561</v>
      </c>
      <c r="O614" s="20">
        <f>INDEX(Auxiliar!$D$5:$F$13,MATCH(Table1[[#This Row],[Tipologia_Testes]],Auxiliar!$B$5:$B$13,0),MATCH(Table1[[#This Row],[Complexidade]],Auxiliar!$D$4:$F$4,0))</f>
        <v>8</v>
      </c>
      <c r="P614" s="22" t="s">
        <v>1218</v>
      </c>
      <c r="Q614" s="2"/>
      <c r="R614" s="151">
        <v>45512</v>
      </c>
      <c r="S614" s="151"/>
      <c r="T614" s="151">
        <v>45512</v>
      </c>
      <c r="U614" s="151"/>
      <c r="V614" s="151"/>
      <c r="W614" s="2">
        <f>VLOOKUP(Table1[[#This Row],[Status]],Auxiliar!$B$16:$D$24,3,0)*Table1[[#This Row],[Estimação (horas)]]</f>
        <v>8</v>
      </c>
      <c r="X614" s="2"/>
    </row>
    <row r="615" spans="2:24" ht="17.7"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1187</v>
      </c>
      <c r="L615" s="28" t="s">
        <v>1193</v>
      </c>
      <c r="M615" s="20" t="s">
        <v>1186</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7"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1188</v>
      </c>
      <c r="L616" s="28" t="s">
        <v>1193</v>
      </c>
      <c r="M616" s="20" t="s">
        <v>1186</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7"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1190</v>
      </c>
      <c r="L617" s="28" t="s">
        <v>1193</v>
      </c>
      <c r="M617" s="20" t="s">
        <v>1186</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7"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1187</v>
      </c>
      <c r="L618" s="28" t="s">
        <v>1193</v>
      </c>
      <c r="M618" s="20" t="s">
        <v>1186</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7"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1188</v>
      </c>
      <c r="L619" s="28" t="s">
        <v>1193</v>
      </c>
      <c r="M619" s="20" t="s">
        <v>1186</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7"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1190</v>
      </c>
      <c r="L620" s="28" t="s">
        <v>1193</v>
      </c>
      <c r="M620" s="20" t="s">
        <v>1186</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7"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1187</v>
      </c>
      <c r="L621" s="28" t="s">
        <v>1193</v>
      </c>
      <c r="M621" s="20" t="s">
        <v>1186</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7"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1188</v>
      </c>
      <c r="L622" s="28" t="s">
        <v>1193</v>
      </c>
      <c r="M622" s="20" t="s">
        <v>1186</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7"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1190</v>
      </c>
      <c r="L623" s="28" t="s">
        <v>1193</v>
      </c>
      <c r="M623" s="20" t="s">
        <v>1186</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7"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1187</v>
      </c>
      <c r="L624" s="28" t="s">
        <v>1193</v>
      </c>
      <c r="M624" s="20" t="s">
        <v>1186</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7"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1188</v>
      </c>
      <c r="L625" s="28" t="s">
        <v>1193</v>
      </c>
      <c r="M625" s="20" t="s">
        <v>1186</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7"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1190</v>
      </c>
      <c r="L626" s="28" t="s">
        <v>1193</v>
      </c>
      <c r="M626" s="20" t="s">
        <v>1186</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7"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1187</v>
      </c>
      <c r="L627" s="28" t="s">
        <v>1193</v>
      </c>
      <c r="M627" s="20" t="s">
        <v>1186</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7"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1188</v>
      </c>
      <c r="L628" s="28" t="s">
        <v>1193</v>
      </c>
      <c r="M628" s="20" t="s">
        <v>1186</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7"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1190</v>
      </c>
      <c r="L629" s="28" t="s">
        <v>1193</v>
      </c>
      <c r="M629" s="20" t="s">
        <v>1186</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7"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1187</v>
      </c>
      <c r="L630" s="28" t="s">
        <v>1193</v>
      </c>
      <c r="M630" s="20" t="s">
        <v>1186</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7"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1188</v>
      </c>
      <c r="L631" s="28" t="s">
        <v>1193</v>
      </c>
      <c r="M631" s="20" t="s">
        <v>1186</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7"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1190</v>
      </c>
      <c r="L632" s="28" t="s">
        <v>1193</v>
      </c>
      <c r="M632" s="20" t="s">
        <v>1186</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7"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1187</v>
      </c>
      <c r="L633" s="28" t="s">
        <v>1193</v>
      </c>
      <c r="M633" s="20" t="s">
        <v>1186</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7"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1188</v>
      </c>
      <c r="L634" s="28" t="s">
        <v>1193</v>
      </c>
      <c r="M634" s="20" t="s">
        <v>1186</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7"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1190</v>
      </c>
      <c r="L635" s="28" t="s">
        <v>1193</v>
      </c>
      <c r="M635" s="20" t="s">
        <v>1186</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7"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1187</v>
      </c>
      <c r="L636" s="28" t="s">
        <v>1193</v>
      </c>
      <c r="M636" s="20" t="s">
        <v>1186</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7"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1188</v>
      </c>
      <c r="L637" s="28" t="s">
        <v>1193</v>
      </c>
      <c r="M637" s="20" t="s">
        <v>1186</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7"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1190</v>
      </c>
      <c r="L638" s="28" t="s">
        <v>1193</v>
      </c>
      <c r="M638" s="20" t="s">
        <v>1186</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7"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1187</v>
      </c>
      <c r="L639" s="28" t="s">
        <v>1193</v>
      </c>
      <c r="M639" s="20" t="s">
        <v>1186</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7"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1188</v>
      </c>
      <c r="L640" s="28" t="s">
        <v>1193</v>
      </c>
      <c r="M640" s="20" t="s">
        <v>1186</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7"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1190</v>
      </c>
      <c r="L641" s="28" t="s">
        <v>1193</v>
      </c>
      <c r="M641" s="20" t="s">
        <v>1186</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7"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1187</v>
      </c>
      <c r="L642" s="28" t="s">
        <v>1193</v>
      </c>
      <c r="M642" s="20" t="s">
        <v>1186</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7"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1188</v>
      </c>
      <c r="L643" s="28" t="s">
        <v>1193</v>
      </c>
      <c r="M643" s="20" t="s">
        <v>1186</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7"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1190</v>
      </c>
      <c r="L644" s="28" t="s">
        <v>1193</v>
      </c>
      <c r="M644" s="20" t="s">
        <v>1186</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7"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1187</v>
      </c>
      <c r="L645" s="28" t="s">
        <v>1193</v>
      </c>
      <c r="M645" s="20" t="s">
        <v>1186</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7"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1188</v>
      </c>
      <c r="L646" s="28" t="s">
        <v>1193</v>
      </c>
      <c r="M646" s="20" t="s">
        <v>1186</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7"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1190</v>
      </c>
      <c r="L647" s="28" t="s">
        <v>1193</v>
      </c>
      <c r="M647" s="20" t="s">
        <v>1186</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7"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1187</v>
      </c>
      <c r="L648" s="28" t="s">
        <v>1193</v>
      </c>
      <c r="M648" s="20" t="s">
        <v>1186</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7"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1188</v>
      </c>
      <c r="L649" s="28" t="s">
        <v>1193</v>
      </c>
      <c r="M649" s="20" t="s">
        <v>1186</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7"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1190</v>
      </c>
      <c r="L650" s="28" t="s">
        <v>1193</v>
      </c>
      <c r="M650" s="20" t="s">
        <v>1186</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7"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1187</v>
      </c>
      <c r="L651" s="28" t="s">
        <v>1193</v>
      </c>
      <c r="M651" s="20" t="s">
        <v>1186</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7"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1188</v>
      </c>
      <c r="L652" s="28" t="s">
        <v>1193</v>
      </c>
      <c r="M652" s="20" t="s">
        <v>1186</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7"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1190</v>
      </c>
      <c r="L653" s="28" t="s">
        <v>1193</v>
      </c>
      <c r="M653" s="20" t="s">
        <v>1186</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7"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1187</v>
      </c>
      <c r="L654" s="28" t="s">
        <v>1193</v>
      </c>
      <c r="M654" s="20" t="s">
        <v>1186</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7"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1188</v>
      </c>
      <c r="L655" s="28" t="s">
        <v>1193</v>
      </c>
      <c r="M655" s="20" t="s">
        <v>1186</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7"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1190</v>
      </c>
      <c r="L656" s="28" t="s">
        <v>1193</v>
      </c>
      <c r="M656" s="20" t="s">
        <v>1186</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7"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612</v>
      </c>
      <c r="J657" s="44">
        <f>VLOOKUP(Table1[[#This Row],[Status]],Auxiliar!$B$16:$C$24,2,0)</f>
        <v>1</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7"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612</v>
      </c>
      <c r="J658" s="44">
        <f>VLOOKUP(Table1[[#This Row],[Status]],Auxiliar!$B$16:$C$24,2,0)</f>
        <v>1</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7"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612</v>
      </c>
      <c r="J659" s="44">
        <f>VLOOKUP(Table1[[#This Row],[Status]],Auxiliar!$B$16:$C$24,2,0)</f>
        <v>1</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7"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612</v>
      </c>
      <c r="J660" s="44">
        <f>VLOOKUP(Table1[[#This Row],[Status]],Auxiliar!$B$16:$C$24,2,0)</f>
        <v>1</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7"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612</v>
      </c>
      <c r="J661" s="44">
        <f>VLOOKUP(Table1[[#This Row],[Status]],Auxiliar!$B$16:$C$24,2,0)</f>
        <v>1</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7"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612</v>
      </c>
      <c r="J662" s="44">
        <f>VLOOKUP(Table1[[#This Row],[Status]],Auxiliar!$B$16:$C$24,2,0)</f>
        <v>1</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7"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612</v>
      </c>
      <c r="J663" s="44">
        <f>VLOOKUP(Table1[[#This Row],[Status]],Auxiliar!$B$16:$C$24,2,0)</f>
        <v>1</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7"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612</v>
      </c>
      <c r="J664" s="44">
        <f>VLOOKUP(Table1[[#This Row],[Status]],Auxiliar!$B$16:$C$24,2,0)</f>
        <v>1</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7"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612</v>
      </c>
      <c r="J665" s="44">
        <f>VLOOKUP(Table1[[#This Row],[Status]],Auxiliar!$B$16:$C$24,2,0)</f>
        <v>1</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7"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612</v>
      </c>
      <c r="J666" s="44">
        <f>VLOOKUP(Table1[[#This Row],[Status]],Auxiliar!$B$16:$C$24,2,0)</f>
        <v>1</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7"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612</v>
      </c>
      <c r="J667" s="44">
        <f>VLOOKUP(Table1[[#This Row],[Status]],Auxiliar!$B$16:$C$24,2,0)</f>
        <v>1</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7"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612</v>
      </c>
      <c r="J668" s="44">
        <f>VLOOKUP(Table1[[#This Row],[Status]],Auxiliar!$B$16:$C$24,2,0)</f>
        <v>1</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7"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612</v>
      </c>
      <c r="J669" s="44">
        <f>VLOOKUP(Table1[[#This Row],[Status]],Auxiliar!$B$16:$C$24,2,0)</f>
        <v>1</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7"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612</v>
      </c>
      <c r="J670" s="44">
        <f>VLOOKUP(Table1[[#This Row],[Status]],Auxiliar!$B$16:$C$24,2,0)</f>
        <v>1</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7" hidden="1" customHeight="1">
      <c r="B671" s="2" t="s">
        <v>26</v>
      </c>
      <c r="C671" s="2" t="s">
        <v>310</v>
      </c>
      <c r="D671" s="2" t="s">
        <v>326</v>
      </c>
      <c r="E671" s="2" t="s">
        <v>38</v>
      </c>
      <c r="F671" s="2" t="s">
        <v>325</v>
      </c>
      <c r="G671" s="12" t="s">
        <v>273</v>
      </c>
      <c r="H671" s="56" t="str">
        <f>Table1[[#This Row],[Tabela]]&amp;Table1[[#This Row],[Campo]]</f>
        <v>modesg_out_empr_info_nfince_trnvr_ttl_elgbl</v>
      </c>
      <c r="I671" s="2" t="s">
        <v>612</v>
      </c>
      <c r="J671" s="44">
        <f>VLOOKUP(Table1[[#This Row],[Status]],Auxiliar!$B$16:$C$24,2,0)</f>
        <v>1</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7"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612</v>
      </c>
      <c r="J672" s="44">
        <f>VLOOKUP(Table1[[#This Row],[Status]],Auxiliar!$B$16:$C$24,2,0)</f>
        <v>1</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7"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612</v>
      </c>
      <c r="J673" s="44">
        <f>VLOOKUP(Table1[[#This Row],[Status]],Auxiliar!$B$16:$C$24,2,0)</f>
        <v>1</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7" hidden="1" customHeight="1">
      <c r="B674" s="2" t="s">
        <v>26</v>
      </c>
      <c r="C674" s="2" t="s">
        <v>310</v>
      </c>
      <c r="D674" s="2" t="s">
        <v>326</v>
      </c>
      <c r="E674" s="2" t="s">
        <v>38</v>
      </c>
      <c r="F674" s="2" t="s">
        <v>325</v>
      </c>
      <c r="G674" s="12" t="s">
        <v>276</v>
      </c>
      <c r="H674" s="56" t="str">
        <f>Table1[[#This Row],[Tabela]]&amp;Table1[[#This Row],[Campo]]</f>
        <v>modesg_out_empr_info_nfince_capex_ttl_elgbl</v>
      </c>
      <c r="I674" s="2" t="s">
        <v>612</v>
      </c>
      <c r="J674" s="44">
        <f>VLOOKUP(Table1[[#This Row],[Status]],Auxiliar!$B$16:$C$24,2,0)</f>
        <v>1</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7"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612</v>
      </c>
      <c r="J675" s="44">
        <f>VLOOKUP(Table1[[#This Row],[Status]],Auxiliar!$B$16:$C$24,2,0)</f>
        <v>1</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7"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612</v>
      </c>
      <c r="J676" s="422">
        <f>VLOOKUP(Table1[[#This Row],[Status]],Auxiliar!$B$16:$C$24,2,0)</f>
        <v>1</v>
      </c>
      <c r="K676" s="423"/>
      <c r="L676" s="248"/>
      <c r="M676" s="20"/>
      <c r="N676" s="47"/>
      <c r="O676" s="423" t="e">
        <f>INDEX(Auxiliar!$D$5:$F$11,MATCH(Table1[[#This Row],[Tipologia_Testes]],Auxiliar!$B$5:$B$11,0),MATCH(Table1[[#This Row],[Complexidade]],Auxiliar!$D$4:$F$4,0))</f>
        <v>#N/A</v>
      </c>
      <c r="P676" s="2"/>
      <c r="Q676" s="2"/>
      <c r="R676" s="424"/>
      <c r="S676" s="151"/>
      <c r="T676" s="151"/>
      <c r="U676" s="151"/>
      <c r="V676" s="151"/>
      <c r="W676" s="425" t="e">
        <f>VLOOKUP(Table1[[#This Row],[Status]],Auxiliar!$B$16:$D$24,3,0)*Table1[[#This Row],[Estimação (horas)]]</f>
        <v>#N/A</v>
      </c>
      <c r="X676" s="2"/>
    </row>
    <row r="677" spans="2:24" ht="17.7" hidden="1" customHeight="1">
      <c r="B677" s="2" t="s">
        <v>26</v>
      </c>
      <c r="C677" s="2" t="s">
        <v>310</v>
      </c>
      <c r="D677" s="2" t="s">
        <v>326</v>
      </c>
      <c r="E677" s="2" t="s">
        <v>38</v>
      </c>
      <c r="F677" s="2" t="s">
        <v>325</v>
      </c>
      <c r="G677" s="2" t="s">
        <v>281</v>
      </c>
      <c r="H677" s="56" t="str">
        <f>Table1[[#This Row],[Tabela]]&amp;Table1[[#This Row],[Campo]]</f>
        <v>modesg_out_empr_info_nfincod_nace_esg</v>
      </c>
      <c r="I677" s="2" t="s">
        <v>1863</v>
      </c>
      <c r="J677" s="42">
        <f>VLOOKUP(Table1[[#This Row],[Status]],Auxiliar!$B$16:$C$24,2,0)</f>
        <v>3</v>
      </c>
      <c r="K677" s="2" t="s">
        <v>1187</v>
      </c>
      <c r="L677" s="28" t="s">
        <v>1185</v>
      </c>
      <c r="M677" s="20" t="s">
        <v>1186</v>
      </c>
      <c r="N677" s="47">
        <v>45301</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4</v>
      </c>
      <c r="X677" s="2"/>
    </row>
    <row r="678" spans="2:24" ht="17.7" hidden="1" customHeight="1">
      <c r="B678" s="2" t="s">
        <v>26</v>
      </c>
      <c r="C678" s="2" t="s">
        <v>310</v>
      </c>
      <c r="D678" s="2" t="s">
        <v>326</v>
      </c>
      <c r="E678" s="2" t="s">
        <v>38</v>
      </c>
      <c r="F678" s="2" t="s">
        <v>325</v>
      </c>
      <c r="G678" s="2" t="s">
        <v>281</v>
      </c>
      <c r="H678" s="56" t="str">
        <f>Table1[[#This Row],[Tabela]]&amp;Table1[[#This Row],[Campo]]</f>
        <v>modesg_out_empr_info_nfincod_nace_esg</v>
      </c>
      <c r="I678" s="2" t="s">
        <v>1863</v>
      </c>
      <c r="J678" s="42">
        <f>VLOOKUP(Table1[[#This Row],[Status]],Auxiliar!$B$16:$C$24,2,0)</f>
        <v>3</v>
      </c>
      <c r="K678" s="2" t="s">
        <v>1188</v>
      </c>
      <c r="L678" s="28" t="s">
        <v>1185</v>
      </c>
      <c r="M678" s="20" t="s">
        <v>1186</v>
      </c>
      <c r="N678" s="47">
        <v>45301</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4</v>
      </c>
      <c r="X678" s="2"/>
    </row>
    <row r="679" spans="2:24" ht="17.7" hidden="1" customHeight="1">
      <c r="B679" s="2" t="s">
        <v>26</v>
      </c>
      <c r="C679" s="2" t="s">
        <v>310</v>
      </c>
      <c r="D679" s="2" t="s">
        <v>326</v>
      </c>
      <c r="E679" s="2" t="s">
        <v>38</v>
      </c>
      <c r="F679" s="2" t="s">
        <v>325</v>
      </c>
      <c r="G679" s="2" t="s">
        <v>281</v>
      </c>
      <c r="H679" s="56" t="str">
        <f>Table1[[#This Row],[Tabela]]&amp;Table1[[#This Row],[Campo]]</f>
        <v>modesg_out_empr_info_nfincod_nace_esg</v>
      </c>
      <c r="I679" s="2" t="s">
        <v>1863</v>
      </c>
      <c r="J679" s="42">
        <f>VLOOKUP(Table1[[#This Row],[Status]],Auxiliar!$B$16:$C$24,2,0)</f>
        <v>3</v>
      </c>
      <c r="K679" s="2" t="s">
        <v>1190</v>
      </c>
      <c r="L679" s="28" t="s">
        <v>1185</v>
      </c>
      <c r="M679" s="20" t="s">
        <v>1186</v>
      </c>
      <c r="N679" s="47">
        <v>45301</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0.05</v>
      </c>
      <c r="X679" s="2"/>
    </row>
    <row r="680" spans="2:24" ht="17.7"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1187</v>
      </c>
      <c r="L680" s="28" t="s">
        <v>1193</v>
      </c>
      <c r="M680" s="20" t="s">
        <v>1195</v>
      </c>
      <c r="N680" s="47">
        <v>45674</v>
      </c>
      <c r="O680" s="20">
        <f>INDEX(Auxiliar!$D$5:$F$13,MATCH(Table1[[#This Row],[Tipologia_Testes]],Auxiliar!$B$5:$B$13,0),MATCH(Table1[[#This Row],[Complexidade]],Auxiliar!$D$4:$F$4,0))</f>
        <v>4</v>
      </c>
      <c r="P680" s="172" t="s">
        <v>1219</v>
      </c>
      <c r="Q680" s="2"/>
      <c r="R680" s="151">
        <v>45553</v>
      </c>
      <c r="S680" s="151"/>
      <c r="T680" s="151">
        <v>45553</v>
      </c>
      <c r="U680" s="151">
        <v>45614</v>
      </c>
      <c r="V680" s="151">
        <v>45615</v>
      </c>
      <c r="W680" s="2">
        <f>VLOOKUP(Table1[[#This Row],[Status]],Auxiliar!$B$16:$D$24,3,0)*Table1[[#This Row],[Estimação (horas)]]</f>
        <v>4</v>
      </c>
      <c r="X680" s="2"/>
    </row>
    <row r="681" spans="2:24" ht="17.7"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1188</v>
      </c>
      <c r="L681" s="28" t="s">
        <v>1193</v>
      </c>
      <c r="M681" s="20" t="s">
        <v>1195</v>
      </c>
      <c r="N681" s="47">
        <v>45674</v>
      </c>
      <c r="O681" s="20">
        <f>INDEX(Auxiliar!$D$5:$F$13,MATCH(Table1[[#This Row],[Tipologia_Testes]],Auxiliar!$B$5:$B$13,0),MATCH(Table1[[#This Row],[Complexidade]],Auxiliar!$D$4:$F$4,0))</f>
        <v>4</v>
      </c>
      <c r="P681" s="172" t="s">
        <v>1219</v>
      </c>
      <c r="Q681" s="2"/>
      <c r="R681" s="151">
        <v>45553</v>
      </c>
      <c r="S681" s="151"/>
      <c r="T681" s="151">
        <v>45553</v>
      </c>
      <c r="U681" s="151">
        <v>45614</v>
      </c>
      <c r="V681" s="151">
        <v>45615</v>
      </c>
      <c r="W681" s="2">
        <f>VLOOKUP(Table1[[#This Row],[Status]],Auxiliar!$B$16:$D$24,3,0)*Table1[[#This Row],[Estimação (horas)]]</f>
        <v>4</v>
      </c>
      <c r="X681" s="2"/>
    </row>
    <row r="682" spans="2:24" ht="17.7"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1190</v>
      </c>
      <c r="L682" s="28" t="s">
        <v>1193</v>
      </c>
      <c r="M682" s="20" t="s">
        <v>1195</v>
      </c>
      <c r="N682" s="47">
        <v>45674</v>
      </c>
      <c r="O682" s="20">
        <f>INDEX(Auxiliar!$D$5:$F$13,MATCH(Table1[[#This Row],[Tipologia_Testes]],Auxiliar!$B$5:$B$13,0),MATCH(Table1[[#This Row],[Complexidade]],Auxiliar!$D$4:$F$4,0))</f>
        <v>0.1</v>
      </c>
      <c r="P682" s="172" t="s">
        <v>1219</v>
      </c>
      <c r="Q682" s="2"/>
      <c r="R682" s="151">
        <v>45553</v>
      </c>
      <c r="S682" s="151"/>
      <c r="T682" s="151">
        <v>45553</v>
      </c>
      <c r="U682" s="151">
        <v>45614</v>
      </c>
      <c r="V682" s="151">
        <v>45615</v>
      </c>
      <c r="W682" s="2">
        <f>VLOOKUP(Table1[[#This Row],[Status]],Auxiliar!$B$16:$D$24,3,0)*Table1[[#This Row],[Estimação (horas)]]</f>
        <v>0.1</v>
      </c>
      <c r="X682" s="2"/>
    </row>
    <row r="683" spans="2:24" ht="17.7"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1187</v>
      </c>
      <c r="L683" s="28" t="s">
        <v>1193</v>
      </c>
      <c r="M683" s="20" t="s">
        <v>1195</v>
      </c>
      <c r="N683" s="47">
        <v>45674</v>
      </c>
      <c r="O683" s="20">
        <f>INDEX(Auxiliar!$D$5:$F$13,MATCH(Table1[[#This Row],[Tipologia_Testes]],Auxiliar!$B$5:$B$13,0),MATCH(Table1[[#This Row],[Complexidade]],Auxiliar!$D$4:$F$4,0))</f>
        <v>4</v>
      </c>
      <c r="P683" s="172" t="s">
        <v>1219</v>
      </c>
      <c r="Q683" s="2"/>
      <c r="R683" s="151">
        <v>45553</v>
      </c>
      <c r="S683" s="151"/>
      <c r="T683" s="151">
        <v>45553</v>
      </c>
      <c r="U683" s="151">
        <v>45614</v>
      </c>
      <c r="V683" s="151">
        <v>45615</v>
      </c>
      <c r="W683" s="2">
        <f>VLOOKUP(Table1[[#This Row],[Status]],Auxiliar!$B$16:$D$24,3,0)*Table1[[#This Row],[Estimação (horas)]]</f>
        <v>4</v>
      </c>
      <c r="X683" s="2"/>
    </row>
    <row r="684" spans="2:24" ht="17.7"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1188</v>
      </c>
      <c r="L684" s="28" t="s">
        <v>1193</v>
      </c>
      <c r="M684" s="20" t="s">
        <v>1195</v>
      </c>
      <c r="N684" s="47">
        <v>45674</v>
      </c>
      <c r="O684" s="20">
        <f>INDEX(Auxiliar!$D$5:$F$13,MATCH(Table1[[#This Row],[Tipologia_Testes]],Auxiliar!$B$5:$B$13,0),MATCH(Table1[[#This Row],[Complexidade]],Auxiliar!$D$4:$F$4,0))</f>
        <v>4</v>
      </c>
      <c r="P684" s="172" t="s">
        <v>1219</v>
      </c>
      <c r="Q684" s="2"/>
      <c r="R684" s="151">
        <v>45553</v>
      </c>
      <c r="S684" s="151"/>
      <c r="T684" s="151">
        <v>45553</v>
      </c>
      <c r="U684" s="151">
        <v>45614</v>
      </c>
      <c r="V684" s="151">
        <v>45615</v>
      </c>
      <c r="W684" s="2">
        <f>VLOOKUP(Table1[[#This Row],[Status]],Auxiliar!$B$16:$D$24,3,0)*Table1[[#This Row],[Estimação (horas)]]</f>
        <v>4</v>
      </c>
      <c r="X684" s="2"/>
    </row>
    <row r="685" spans="2:24" ht="17.7"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1190</v>
      </c>
      <c r="L685" s="28" t="s">
        <v>1193</v>
      </c>
      <c r="M685" s="20" t="s">
        <v>1195</v>
      </c>
      <c r="N685" s="47">
        <v>45674</v>
      </c>
      <c r="O685" s="20">
        <f>INDEX(Auxiliar!$D$5:$F$13,MATCH(Table1[[#This Row],[Tipologia_Testes]],Auxiliar!$B$5:$B$13,0),MATCH(Table1[[#This Row],[Complexidade]],Auxiliar!$D$4:$F$4,0))</f>
        <v>0.1</v>
      </c>
      <c r="P685" s="172" t="s">
        <v>1219</v>
      </c>
      <c r="Q685" s="2"/>
      <c r="R685" s="151">
        <v>45553</v>
      </c>
      <c r="S685" s="151"/>
      <c r="T685" s="151">
        <v>45553</v>
      </c>
      <c r="U685" s="151">
        <v>45614</v>
      </c>
      <c r="V685" s="151">
        <v>45615</v>
      </c>
      <c r="W685" s="2">
        <f>VLOOKUP(Table1[[#This Row],[Status]],Auxiliar!$B$16:$D$24,3,0)*Table1[[#This Row],[Estimação (horas)]]</f>
        <v>0.1</v>
      </c>
      <c r="X685" s="2"/>
    </row>
    <row r="686" spans="2:24" ht="17.7" hidden="1" customHeight="1">
      <c r="B686" s="2" t="s">
        <v>26</v>
      </c>
      <c r="C686" s="2" t="s">
        <v>310</v>
      </c>
      <c r="D686" s="2" t="s">
        <v>326</v>
      </c>
      <c r="E686" s="2" t="s">
        <v>38</v>
      </c>
      <c r="F686" s="2" t="s">
        <v>325</v>
      </c>
      <c r="G686" s="2" t="s">
        <v>282</v>
      </c>
      <c r="H686" s="56" t="str">
        <f>Table1[[#This Row],[Tabela]]&amp;Table1[[#This Row],[Campo]]</f>
        <v>modesg_out_empr_info_nfinflg_rsc_fsc_agd</v>
      </c>
      <c r="I686" s="2" t="s">
        <v>1863</v>
      </c>
      <c r="J686" s="42">
        <f>VLOOKUP(Table1[[#This Row],[Status]],Auxiliar!$B$16:$C$24,2,0)</f>
        <v>3</v>
      </c>
      <c r="K686" s="2" t="s">
        <v>1187</v>
      </c>
      <c r="L686" s="28" t="s">
        <v>1185</v>
      </c>
      <c r="M686" s="20" t="s">
        <v>1186</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7" hidden="1" customHeight="1">
      <c r="B687" s="2" t="s">
        <v>26</v>
      </c>
      <c r="C687" s="2" t="s">
        <v>310</v>
      </c>
      <c r="D687" s="2" t="s">
        <v>326</v>
      </c>
      <c r="E687" s="2" t="s">
        <v>38</v>
      </c>
      <c r="F687" s="2" t="s">
        <v>325</v>
      </c>
      <c r="G687" s="2" t="s">
        <v>282</v>
      </c>
      <c r="H687" s="56" t="str">
        <f>Table1[[#This Row],[Tabela]]&amp;Table1[[#This Row],[Campo]]</f>
        <v>modesg_out_empr_info_nfinflg_rsc_fsc_agd</v>
      </c>
      <c r="I687" s="2" t="s">
        <v>1863</v>
      </c>
      <c r="J687" s="42">
        <f>VLOOKUP(Table1[[#This Row],[Status]],Auxiliar!$B$16:$C$24,2,0)</f>
        <v>3</v>
      </c>
      <c r="K687" s="2" t="s">
        <v>1188</v>
      </c>
      <c r="L687" s="28" t="s">
        <v>1185</v>
      </c>
      <c r="M687" s="20" t="s">
        <v>1186</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7" hidden="1" customHeight="1">
      <c r="B688" s="2" t="s">
        <v>26</v>
      </c>
      <c r="C688" s="2" t="s">
        <v>310</v>
      </c>
      <c r="D688" s="2" t="s">
        <v>326</v>
      </c>
      <c r="E688" s="2" t="s">
        <v>38</v>
      </c>
      <c r="F688" s="2" t="s">
        <v>325</v>
      </c>
      <c r="G688" s="2" t="s">
        <v>282</v>
      </c>
      <c r="H688" s="56" t="str">
        <f>Table1[[#This Row],[Tabela]]&amp;Table1[[#This Row],[Campo]]</f>
        <v>modesg_out_empr_info_nfinflg_rsc_fsc_agd</v>
      </c>
      <c r="I688" s="2" t="s">
        <v>1863</v>
      </c>
      <c r="J688" s="42">
        <f>VLOOKUP(Table1[[#This Row],[Status]],Auxiliar!$B$16:$C$24,2,0)</f>
        <v>3</v>
      </c>
      <c r="K688" s="2" t="s">
        <v>1190</v>
      </c>
      <c r="L688" s="28" t="s">
        <v>1185</v>
      </c>
      <c r="M688" s="20" t="s">
        <v>1186</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7" hidden="1" customHeight="1">
      <c r="B689" s="2" t="s">
        <v>26</v>
      </c>
      <c r="C689" s="2" t="s">
        <v>310</v>
      </c>
      <c r="D689" s="2" t="s">
        <v>326</v>
      </c>
      <c r="E689" s="2" t="s">
        <v>38</v>
      </c>
      <c r="F689" s="2" t="s">
        <v>325</v>
      </c>
      <c r="G689" s="2" t="s">
        <v>283</v>
      </c>
      <c r="H689" s="56" t="str">
        <f>Table1[[#This Row],[Tabela]]&amp;Table1[[#This Row],[Campo]]</f>
        <v>modesg_out_empr_info_nfinflg_rsc_fsc_crnc</v>
      </c>
      <c r="I689" s="2" t="s">
        <v>1863</v>
      </c>
      <c r="J689" s="42">
        <f>VLOOKUP(Table1[[#This Row],[Status]],Auxiliar!$B$16:$C$24,2,0)</f>
        <v>3</v>
      </c>
      <c r="K689" s="2" t="s">
        <v>1187</v>
      </c>
      <c r="L689" s="28" t="s">
        <v>1185</v>
      </c>
      <c r="M689" s="20" t="s">
        <v>1186</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7" hidden="1" customHeight="1">
      <c r="B690" s="2" t="s">
        <v>26</v>
      </c>
      <c r="C690" s="2" t="s">
        <v>310</v>
      </c>
      <c r="D690" s="2" t="s">
        <v>326</v>
      </c>
      <c r="E690" s="2" t="s">
        <v>38</v>
      </c>
      <c r="F690" s="2" t="s">
        <v>325</v>
      </c>
      <c r="G690" s="2" t="s">
        <v>283</v>
      </c>
      <c r="H690" s="56" t="str">
        <f>Table1[[#This Row],[Tabela]]&amp;Table1[[#This Row],[Campo]]</f>
        <v>modesg_out_empr_info_nfinflg_rsc_fsc_crnc</v>
      </c>
      <c r="I690" s="2" t="s">
        <v>1863</v>
      </c>
      <c r="J690" s="42">
        <f>VLOOKUP(Table1[[#This Row],[Status]],Auxiliar!$B$16:$C$24,2,0)</f>
        <v>3</v>
      </c>
      <c r="K690" s="2" t="s">
        <v>1188</v>
      </c>
      <c r="L690" s="28" t="s">
        <v>1185</v>
      </c>
      <c r="M690" s="20" t="s">
        <v>1186</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7" hidden="1" customHeight="1">
      <c r="B691" s="2" t="s">
        <v>26</v>
      </c>
      <c r="C691" s="2" t="s">
        <v>310</v>
      </c>
      <c r="D691" s="2" t="s">
        <v>326</v>
      </c>
      <c r="E691" s="2" t="s">
        <v>38</v>
      </c>
      <c r="F691" s="2" t="s">
        <v>325</v>
      </c>
      <c r="G691" s="2" t="s">
        <v>283</v>
      </c>
      <c r="H691" s="56" t="str">
        <f>Table1[[#This Row],[Tabela]]&amp;Table1[[#This Row],[Campo]]</f>
        <v>modesg_out_empr_info_nfinflg_rsc_fsc_crnc</v>
      </c>
      <c r="I691" s="2" t="s">
        <v>1863</v>
      </c>
      <c r="J691" s="42">
        <f>VLOOKUP(Table1[[#This Row],[Status]],Auxiliar!$B$16:$C$24,2,0)</f>
        <v>3</v>
      </c>
      <c r="K691" s="2" t="s">
        <v>1190</v>
      </c>
      <c r="L691" s="28" t="s">
        <v>1185</v>
      </c>
      <c r="M691" s="20" t="s">
        <v>1186</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7"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1187</v>
      </c>
      <c r="L692" s="28" t="s">
        <v>1193</v>
      </c>
      <c r="M692" s="20" t="s">
        <v>1194</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7"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1188</v>
      </c>
      <c r="L693" s="28" t="s">
        <v>1193</v>
      </c>
      <c r="M693" s="20" t="s">
        <v>1194</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7"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1190</v>
      </c>
      <c r="L694" s="28" t="s">
        <v>1193</v>
      </c>
      <c r="M694" s="20" t="s">
        <v>1194</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7"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1187</v>
      </c>
      <c r="L695" s="28" t="s">
        <v>1193</v>
      </c>
      <c r="M695" s="20" t="s">
        <v>1194</v>
      </c>
      <c r="N695" s="47">
        <v>45674</v>
      </c>
      <c r="O695" s="20">
        <f>INDEX(Auxiliar!$D$5:$F$13,MATCH(Table1[[#This Row],[Tipologia_Testes]],Auxiliar!$B$5:$B$13,0),MATCH(Table1[[#This Row],[Complexidade]],Auxiliar!$D$4:$F$4,0))</f>
        <v>2</v>
      </c>
      <c r="P695" s="172" t="s">
        <v>1219</v>
      </c>
      <c r="Q695" s="2"/>
      <c r="R695" s="151">
        <v>45553</v>
      </c>
      <c r="S695" s="151"/>
      <c r="T695" s="151">
        <v>45553</v>
      </c>
      <c r="U695" s="151">
        <v>45614</v>
      </c>
      <c r="V695" s="151">
        <v>45615</v>
      </c>
      <c r="W695" s="2">
        <f>VLOOKUP(Table1[[#This Row],[Status]],Auxiliar!$B$16:$D$24,3,0)*Table1[[#This Row],[Estimação (horas)]]</f>
        <v>2</v>
      </c>
      <c r="X695" s="2"/>
    </row>
    <row r="696" spans="2:24" ht="17.7"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1188</v>
      </c>
      <c r="L696" s="28" t="s">
        <v>1193</v>
      </c>
      <c r="M696" s="20" t="s">
        <v>1194</v>
      </c>
      <c r="N696" s="47">
        <v>45674</v>
      </c>
      <c r="O696" s="20">
        <f>INDEX(Auxiliar!$D$5:$F$13,MATCH(Table1[[#This Row],[Tipologia_Testes]],Auxiliar!$B$5:$B$13,0),MATCH(Table1[[#This Row],[Complexidade]],Auxiliar!$D$4:$F$4,0))</f>
        <v>2</v>
      </c>
      <c r="P696" s="172" t="s">
        <v>1219</v>
      </c>
      <c r="Q696" s="2"/>
      <c r="R696" s="151">
        <v>45553</v>
      </c>
      <c r="S696" s="151"/>
      <c r="T696" s="151">
        <v>45553</v>
      </c>
      <c r="U696" s="151">
        <v>45614</v>
      </c>
      <c r="V696" s="151">
        <v>45615</v>
      </c>
      <c r="W696" s="2">
        <f>VLOOKUP(Table1[[#This Row],[Status]],Auxiliar!$B$16:$D$24,3,0)*Table1[[#This Row],[Estimação (horas)]]</f>
        <v>2</v>
      </c>
      <c r="X696" s="2"/>
    </row>
    <row r="697" spans="2:24" ht="17.7"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1190</v>
      </c>
      <c r="L697" s="28" t="s">
        <v>1193</v>
      </c>
      <c r="M697" s="20" t="s">
        <v>1194</v>
      </c>
      <c r="N697" s="47">
        <v>45674</v>
      </c>
      <c r="O697" s="20">
        <f>INDEX(Auxiliar!$D$5:$F$13,MATCH(Table1[[#This Row],[Tipologia_Testes]],Auxiliar!$B$5:$B$13,0),MATCH(Table1[[#This Row],[Complexidade]],Auxiliar!$D$4:$F$4,0))</f>
        <v>0.1</v>
      </c>
      <c r="P697" s="172" t="s">
        <v>1219</v>
      </c>
      <c r="Q697" s="2"/>
      <c r="R697" s="151">
        <v>45553</v>
      </c>
      <c r="S697" s="151"/>
      <c r="T697" s="151">
        <v>45553</v>
      </c>
      <c r="U697" s="151">
        <v>45614</v>
      </c>
      <c r="V697" s="151">
        <v>45615</v>
      </c>
      <c r="W697" s="2">
        <f>VLOOKUP(Table1[[#This Row],[Status]],Auxiliar!$B$16:$D$24,3,0)*Table1[[#This Row],[Estimação (horas)]]</f>
        <v>0.1</v>
      </c>
      <c r="X697" s="2"/>
    </row>
    <row r="698" spans="2:24" ht="17.7"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1187</v>
      </c>
      <c r="L698" s="28" t="s">
        <v>1193</v>
      </c>
      <c r="M698" s="20" t="s">
        <v>1194</v>
      </c>
      <c r="N698" s="47">
        <v>45667</v>
      </c>
      <c r="O698" s="20">
        <f>INDEX(Auxiliar!$D$5:$F$13,MATCH(Table1[[#This Row],[Tipologia_Testes]],Auxiliar!$B$5:$B$13,0),MATCH(Table1[[#This Row],[Complexidade]],Auxiliar!$D$4:$F$4,0))</f>
        <v>2</v>
      </c>
      <c r="P698" s="172" t="s">
        <v>1219</v>
      </c>
      <c r="Q698" s="2"/>
      <c r="R698" s="151">
        <v>45553</v>
      </c>
      <c r="S698" s="151"/>
      <c r="T698" s="151">
        <v>45553</v>
      </c>
      <c r="U698" s="151">
        <v>45614</v>
      </c>
      <c r="V698" s="151">
        <v>45615</v>
      </c>
      <c r="W698" s="2">
        <f>VLOOKUP(Table1[[#This Row],[Status]],Auxiliar!$B$16:$D$24,3,0)*Table1[[#This Row],[Estimação (horas)]]</f>
        <v>2</v>
      </c>
      <c r="X698" s="2"/>
    </row>
    <row r="699" spans="2:24" ht="17.7"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1188</v>
      </c>
      <c r="L699" s="28" t="s">
        <v>1193</v>
      </c>
      <c r="M699" s="20" t="s">
        <v>1194</v>
      </c>
      <c r="N699" s="47">
        <v>45667</v>
      </c>
      <c r="O699" s="20">
        <f>INDEX(Auxiliar!$D$5:$F$13,MATCH(Table1[[#This Row],[Tipologia_Testes]],Auxiliar!$B$5:$B$13,0),MATCH(Table1[[#This Row],[Complexidade]],Auxiliar!$D$4:$F$4,0))</f>
        <v>2</v>
      </c>
      <c r="P699" s="172" t="s">
        <v>1219</v>
      </c>
      <c r="Q699" s="2"/>
      <c r="R699" s="151">
        <v>45553</v>
      </c>
      <c r="S699" s="151"/>
      <c r="T699" s="151">
        <v>45553</v>
      </c>
      <c r="U699" s="151">
        <v>45614</v>
      </c>
      <c r="V699" s="151">
        <v>45615</v>
      </c>
      <c r="W699" s="2">
        <f>VLOOKUP(Table1[[#This Row],[Status]],Auxiliar!$B$16:$D$24,3,0)*Table1[[#This Row],[Estimação (horas)]]</f>
        <v>2</v>
      </c>
      <c r="X699" s="2"/>
    </row>
    <row r="700" spans="2:24" ht="17.7"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1190</v>
      </c>
      <c r="L700" s="28" t="s">
        <v>1193</v>
      </c>
      <c r="M700" s="20" t="s">
        <v>1194</v>
      </c>
      <c r="N700" s="47">
        <v>45667</v>
      </c>
      <c r="O700" s="20">
        <f>INDEX(Auxiliar!$D$5:$F$13,MATCH(Table1[[#This Row],[Tipologia_Testes]],Auxiliar!$B$5:$B$13,0),MATCH(Table1[[#This Row],[Complexidade]],Auxiliar!$D$4:$F$4,0))</f>
        <v>0.1</v>
      </c>
      <c r="P700" s="172" t="s">
        <v>1219</v>
      </c>
      <c r="Q700" s="2"/>
      <c r="R700" s="151">
        <v>45553</v>
      </c>
      <c r="S700" s="151"/>
      <c r="T700" s="151">
        <v>45553</v>
      </c>
      <c r="U700" s="151">
        <v>45614</v>
      </c>
      <c r="V700" s="151">
        <v>45615</v>
      </c>
      <c r="W700" s="2">
        <f>VLOOKUP(Table1[[#This Row],[Status]],Auxiliar!$B$16:$D$24,3,0)*Table1[[#This Row],[Estimação (horas)]]</f>
        <v>0.1</v>
      </c>
      <c r="X700" s="2"/>
    </row>
    <row r="701" spans="2:24" ht="17.7" hidden="1" customHeight="1">
      <c r="B701" s="2" t="s">
        <v>26</v>
      </c>
      <c r="C701" s="2" t="s">
        <v>310</v>
      </c>
      <c r="D701" s="2" t="s">
        <v>326</v>
      </c>
      <c r="E701" s="2" t="s">
        <v>38</v>
      </c>
      <c r="F701" s="2" t="s">
        <v>325</v>
      </c>
      <c r="G701" s="2" t="s">
        <v>317</v>
      </c>
      <c r="H701" s="56" t="str">
        <f>Table1[[#This Row],[Tabela]]&amp;Table1[[#This Row],[Campo]]</f>
        <v>modesg_out_empr_info_nfinorigem_flg_rsc_fsc_agd</v>
      </c>
      <c r="I701" s="2" t="s">
        <v>1863</v>
      </c>
      <c r="J701" s="42">
        <f>VLOOKUP(Table1[[#This Row],[Status]],Auxiliar!$B$16:$C$24,2,0)</f>
        <v>3</v>
      </c>
      <c r="K701" s="2" t="s">
        <v>1187</v>
      </c>
      <c r="L701" s="28" t="s">
        <v>1193</v>
      </c>
      <c r="M701" s="20" t="s">
        <v>1194</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7" hidden="1" customHeight="1">
      <c r="B702" s="2" t="s">
        <v>26</v>
      </c>
      <c r="C702" s="2" t="s">
        <v>310</v>
      </c>
      <c r="D702" s="2" t="s">
        <v>326</v>
      </c>
      <c r="E702" s="2" t="s">
        <v>38</v>
      </c>
      <c r="F702" s="2" t="s">
        <v>325</v>
      </c>
      <c r="G702" s="2" t="s">
        <v>317</v>
      </c>
      <c r="H702" s="56" t="str">
        <f>Table1[[#This Row],[Tabela]]&amp;Table1[[#This Row],[Campo]]</f>
        <v>modesg_out_empr_info_nfinorigem_flg_rsc_fsc_agd</v>
      </c>
      <c r="I702" s="2" t="s">
        <v>1863</v>
      </c>
      <c r="J702" s="42">
        <f>VLOOKUP(Table1[[#This Row],[Status]],Auxiliar!$B$16:$C$24,2,0)</f>
        <v>3</v>
      </c>
      <c r="K702" s="2" t="s">
        <v>1188</v>
      </c>
      <c r="L702" s="28" t="s">
        <v>1193</v>
      </c>
      <c r="M702" s="20" t="s">
        <v>1194</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7"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1863</v>
      </c>
      <c r="J703" s="42">
        <f>VLOOKUP(Table1[[#This Row],[Status]],Auxiliar!$B$16:$C$24,2,0)</f>
        <v>3</v>
      </c>
      <c r="K703" s="2" t="s">
        <v>1190</v>
      </c>
      <c r="L703" s="28" t="s">
        <v>1193</v>
      </c>
      <c r="M703" s="20" t="s">
        <v>1194</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7" hidden="1" customHeight="1">
      <c r="B704" s="2" t="s">
        <v>26</v>
      </c>
      <c r="C704" s="2" t="s">
        <v>310</v>
      </c>
      <c r="D704" s="2" t="s">
        <v>326</v>
      </c>
      <c r="E704" s="2" t="s">
        <v>38</v>
      </c>
      <c r="F704" s="2" t="s">
        <v>325</v>
      </c>
      <c r="G704" s="2" t="s">
        <v>318</v>
      </c>
      <c r="H704" s="56" t="str">
        <f>Table1[[#This Row],[Tabela]]&amp;Table1[[#This Row],[Campo]]</f>
        <v>modesg_out_empr_info_nfinorigem_flg_rsc_fsc_crnc</v>
      </c>
      <c r="I704" s="2" t="s">
        <v>1863</v>
      </c>
      <c r="J704" s="42">
        <f>VLOOKUP(Table1[[#This Row],[Status]],Auxiliar!$B$16:$C$24,2,0)</f>
        <v>3</v>
      </c>
      <c r="K704" s="2" t="s">
        <v>1187</v>
      </c>
      <c r="L704" s="28" t="s">
        <v>1193</v>
      </c>
      <c r="M704" s="20" t="s">
        <v>1194</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7" hidden="1" customHeight="1">
      <c r="B705" s="2" t="s">
        <v>26</v>
      </c>
      <c r="C705" s="2" t="s">
        <v>310</v>
      </c>
      <c r="D705" s="2" t="s">
        <v>326</v>
      </c>
      <c r="E705" s="2" t="s">
        <v>38</v>
      </c>
      <c r="F705" s="2" t="s">
        <v>325</v>
      </c>
      <c r="G705" s="2" t="s">
        <v>318</v>
      </c>
      <c r="H705" s="56" t="str">
        <f>Table1[[#This Row],[Tabela]]&amp;Table1[[#This Row],[Campo]]</f>
        <v>modesg_out_empr_info_nfinorigem_flg_rsc_fsc_crnc</v>
      </c>
      <c r="I705" s="2" t="s">
        <v>1863</v>
      </c>
      <c r="J705" s="42">
        <f>VLOOKUP(Table1[[#This Row],[Status]],Auxiliar!$B$16:$C$24,2,0)</f>
        <v>3</v>
      </c>
      <c r="K705" s="2" t="s">
        <v>1188</v>
      </c>
      <c r="L705" s="28" t="s">
        <v>1193</v>
      </c>
      <c r="M705" s="20" t="s">
        <v>1194</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7"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1863</v>
      </c>
      <c r="J706" s="42">
        <f>VLOOKUP(Table1[[#This Row],[Status]],Auxiliar!$B$16:$C$24,2,0)</f>
        <v>3</v>
      </c>
      <c r="K706" s="2" t="s">
        <v>1190</v>
      </c>
      <c r="L706" s="28" t="s">
        <v>1193</v>
      </c>
      <c r="M706" s="20" t="s">
        <v>1194</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7"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1187</v>
      </c>
      <c r="L707" s="28" t="s">
        <v>1193</v>
      </c>
      <c r="M707" s="20" t="s">
        <v>1194</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7"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1188</v>
      </c>
      <c r="L708" s="28" t="s">
        <v>1193</v>
      </c>
      <c r="M708" s="20" t="s">
        <v>1194</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7"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1190</v>
      </c>
      <c r="L709" s="28" t="s">
        <v>1193</v>
      </c>
      <c r="M709" s="20" t="s">
        <v>1194</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7"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1187</v>
      </c>
      <c r="L710" s="28" t="s">
        <v>1193</v>
      </c>
      <c r="M710" s="20" t="s">
        <v>1194</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7"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1188</v>
      </c>
      <c r="L711" s="28" t="s">
        <v>1193</v>
      </c>
      <c r="M711" s="20" t="s">
        <v>1194</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7"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1190</v>
      </c>
      <c r="L712" s="28" t="s">
        <v>1193</v>
      </c>
      <c r="M712" s="20" t="s">
        <v>1194</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7"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1187</v>
      </c>
      <c r="L713" s="28" t="s">
        <v>1193</v>
      </c>
      <c r="M713" s="20" t="s">
        <v>1194</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7"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1188</v>
      </c>
      <c r="L714" s="28" t="s">
        <v>1193</v>
      </c>
      <c r="M714" s="20" t="s">
        <v>1194</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7"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1190</v>
      </c>
      <c r="L715" s="28" t="s">
        <v>1193</v>
      </c>
      <c r="M715" s="20" t="s">
        <v>1194</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7"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1187</v>
      </c>
      <c r="L716" s="28" t="s">
        <v>1193</v>
      </c>
      <c r="M716" s="20" t="s">
        <v>1194</v>
      </c>
      <c r="N716" s="47">
        <v>45485</v>
      </c>
      <c r="O716" s="20">
        <f>INDEX(Auxiliar!$D$5:$F$13,MATCH(Table1[[#This Row],[Tipologia_Testes]],Auxiliar!$B$5:$B$13,0),MATCH(Table1[[#This Row],[Complexidade]],Auxiliar!$D$4:$F$4,0))</f>
        <v>2</v>
      </c>
      <c r="P716" s="2"/>
      <c r="Q716" s="2" t="s">
        <v>1204</v>
      </c>
      <c r="R716" s="151">
        <v>45261</v>
      </c>
      <c r="S716" s="151"/>
      <c r="T716" s="151"/>
      <c r="U716" s="151"/>
      <c r="V716" s="151"/>
      <c r="W716" s="2">
        <f>VLOOKUP(Table1[[#This Row],[Status]],Auxiliar!$B$16:$D$24,3,0)*Table1[[#This Row],[Estimação (horas)]]</f>
        <v>2</v>
      </c>
      <c r="X716" s="2"/>
    </row>
    <row r="717" spans="2:24" ht="17.7"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1188</v>
      </c>
      <c r="L717" s="28" t="s">
        <v>1193</v>
      </c>
      <c r="M717" s="20" t="s">
        <v>1194</v>
      </c>
      <c r="N717" s="47">
        <v>45485</v>
      </c>
      <c r="O717" s="20">
        <f>INDEX(Auxiliar!$D$5:$F$13,MATCH(Table1[[#This Row],[Tipologia_Testes]],Auxiliar!$B$5:$B$13,0),MATCH(Table1[[#This Row],[Complexidade]],Auxiliar!$D$4:$F$4,0))</f>
        <v>2</v>
      </c>
      <c r="P717" s="2"/>
      <c r="Q717" s="2" t="s">
        <v>1204</v>
      </c>
      <c r="R717" s="151">
        <v>45261</v>
      </c>
      <c r="S717" s="151"/>
      <c r="T717" s="151"/>
      <c r="U717" s="151"/>
      <c r="V717" s="151"/>
      <c r="W717" s="2">
        <f>VLOOKUP(Table1[[#This Row],[Status]],Auxiliar!$B$16:$D$24,3,0)*Table1[[#This Row],[Estimação (horas)]]</f>
        <v>2</v>
      </c>
      <c r="X717" s="2"/>
    </row>
    <row r="718" spans="2:24" ht="17.7"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1190</v>
      </c>
      <c r="L718" s="28" t="s">
        <v>1193</v>
      </c>
      <c r="M718" s="20" t="s">
        <v>1194</v>
      </c>
      <c r="N718" s="47">
        <v>45485</v>
      </c>
      <c r="O718" s="20">
        <f>INDEX(Auxiliar!$D$5:$F$13,MATCH(Table1[[#This Row],[Tipologia_Testes]],Auxiliar!$B$5:$B$13,0),MATCH(Table1[[#This Row],[Complexidade]],Auxiliar!$D$4:$F$4,0))</f>
        <v>0.1</v>
      </c>
      <c r="P718" s="2"/>
      <c r="Q718" s="2" t="s">
        <v>1204</v>
      </c>
      <c r="R718" s="151">
        <v>45261</v>
      </c>
      <c r="S718" s="151"/>
      <c r="T718" s="151"/>
      <c r="U718" s="151"/>
      <c r="V718" s="151"/>
      <c r="W718" s="2">
        <f>VLOOKUP(Table1[[#This Row],[Status]],Auxiliar!$B$16:$D$24,3,0)*Table1[[#This Row],[Estimação (horas)]]</f>
        <v>0.1</v>
      </c>
      <c r="X718" s="2"/>
    </row>
    <row r="719" spans="2:24" ht="17.7"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1187</v>
      </c>
      <c r="L719" s="28" t="s">
        <v>1193</v>
      </c>
      <c r="M719" s="20" t="s">
        <v>1195</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7"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1188</v>
      </c>
      <c r="L720" s="28" t="s">
        <v>1193</v>
      </c>
      <c r="M720" s="20" t="s">
        <v>1195</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7"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1190</v>
      </c>
      <c r="L721" s="28" t="s">
        <v>1193</v>
      </c>
      <c r="M721" s="20" t="s">
        <v>1195</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7"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1187</v>
      </c>
      <c r="L722" s="28" t="s">
        <v>1193</v>
      </c>
      <c r="M722" s="20" t="s">
        <v>1195</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7"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1188</v>
      </c>
      <c r="L723" s="28" t="s">
        <v>1193</v>
      </c>
      <c r="M723" s="20" t="s">
        <v>1195</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7"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1190</v>
      </c>
      <c r="L724" s="28" t="s">
        <v>1193</v>
      </c>
      <c r="M724" s="20" t="s">
        <v>1195</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7"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1187</v>
      </c>
      <c r="L725" s="28" t="s">
        <v>1193</v>
      </c>
      <c r="M725" s="20" t="s">
        <v>1195</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7"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1188</v>
      </c>
      <c r="L726" s="28" t="s">
        <v>1193</v>
      </c>
      <c r="M726" s="20" t="s">
        <v>1195</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7"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1190</v>
      </c>
      <c r="L727" s="28" t="s">
        <v>1193</v>
      </c>
      <c r="M727" s="20" t="s">
        <v>1195</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7"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1187</v>
      </c>
      <c r="L728" s="28" t="s">
        <v>1193</v>
      </c>
      <c r="M728" s="20" t="s">
        <v>1194</v>
      </c>
      <c r="N728" s="47">
        <v>45561</v>
      </c>
      <c r="O728" s="20">
        <f>INDEX(Auxiliar!$D$5:$F$13,MATCH(Table1[[#This Row],[Tipologia_Testes]],Auxiliar!$B$5:$B$13,0),MATCH(Table1[[#This Row],[Complexidade]],Auxiliar!$D$4:$F$4,0))</f>
        <v>2</v>
      </c>
      <c r="P728" s="2" t="s">
        <v>1220</v>
      </c>
      <c r="Q728" s="2"/>
      <c r="R728" s="151"/>
      <c r="S728" s="151"/>
      <c r="T728" s="151"/>
      <c r="U728" s="151"/>
      <c r="V728" s="151"/>
      <c r="W728" s="2">
        <f>VLOOKUP(Table1[[#This Row],[Status]],Auxiliar!$B$16:$D$24,3,0)*Table1[[#This Row],[Estimação (horas)]]</f>
        <v>2</v>
      </c>
      <c r="X728" s="2"/>
    </row>
    <row r="729" spans="2:24" ht="17.7"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1188</v>
      </c>
      <c r="L729" s="28" t="s">
        <v>1193</v>
      </c>
      <c r="M729" s="20" t="s">
        <v>1194</v>
      </c>
      <c r="N729" s="47">
        <v>45561</v>
      </c>
      <c r="O729" s="20">
        <f>INDEX(Auxiliar!$D$5:$F$13,MATCH(Table1[[#This Row],[Tipologia_Testes]],Auxiliar!$B$5:$B$13,0),MATCH(Table1[[#This Row],[Complexidade]],Auxiliar!$D$4:$F$4,0))</f>
        <v>2</v>
      </c>
      <c r="P729" s="2" t="s">
        <v>1220</v>
      </c>
      <c r="Q729" s="2"/>
      <c r="R729" s="151"/>
      <c r="S729" s="151"/>
      <c r="T729" s="151"/>
      <c r="U729" s="151"/>
      <c r="V729" s="151"/>
      <c r="W729" s="2">
        <f>VLOOKUP(Table1[[#This Row],[Status]],Auxiliar!$B$16:$D$24,3,0)*Table1[[#This Row],[Estimação (horas)]]</f>
        <v>2</v>
      </c>
      <c r="X729" s="2"/>
    </row>
    <row r="730" spans="2:24" ht="17.7"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1190</v>
      </c>
      <c r="L730" s="28" t="s">
        <v>1193</v>
      </c>
      <c r="M730" s="20" t="s">
        <v>1194</v>
      </c>
      <c r="N730" s="47">
        <v>45561</v>
      </c>
      <c r="O730" s="20">
        <f>INDEX(Auxiliar!$D$5:$F$13,MATCH(Table1[[#This Row],[Tipologia_Testes]],Auxiliar!$B$5:$B$13,0),MATCH(Table1[[#This Row],[Complexidade]],Auxiliar!$D$4:$F$4,0))</f>
        <v>0.1</v>
      </c>
      <c r="P730" s="2" t="s">
        <v>1220</v>
      </c>
      <c r="Q730" s="2"/>
      <c r="R730" s="151"/>
      <c r="S730" s="151"/>
      <c r="T730" s="151"/>
      <c r="U730" s="151"/>
      <c r="V730" s="151"/>
      <c r="W730" s="2">
        <f>VLOOKUP(Table1[[#This Row],[Status]],Auxiliar!$B$16:$D$24,3,0)*Table1[[#This Row],[Estimação (horas)]]</f>
        <v>0.1</v>
      </c>
      <c r="X730" s="2"/>
    </row>
    <row r="731" spans="2:24" ht="23.7"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1184</v>
      </c>
      <c r="L731" s="28" t="s">
        <v>1193</v>
      </c>
      <c r="M731" s="20" t="s">
        <v>1194</v>
      </c>
      <c r="N731" s="47">
        <v>45632</v>
      </c>
      <c r="O731" s="20">
        <f>INDEX(Auxiliar!$D$5:$F$13,MATCH(Table1[[#This Row],[Tipologia_Testes]],Auxiliar!$B$5:$B$13,0),MATCH(Table1[[#This Row],[Complexidade]],Auxiliar!$D$4:$F$4,0))</f>
        <v>8</v>
      </c>
      <c r="P731" s="22" t="s">
        <v>1221</v>
      </c>
      <c r="Q731" s="2"/>
      <c r="R731" s="151">
        <v>45560</v>
      </c>
      <c r="S731" s="151"/>
      <c r="T731" s="151">
        <v>45560</v>
      </c>
      <c r="U731" s="151">
        <v>45607</v>
      </c>
      <c r="V731" s="151">
        <v>45608</v>
      </c>
      <c r="W731" s="2">
        <f>VLOOKUP(Table1[[#This Row],[Status]],Auxiliar!$B$16:$D$24,3,0)*Table1[[#This Row],[Estimação (horas)]]</f>
        <v>8</v>
      </c>
      <c r="X731" s="2"/>
    </row>
    <row r="732" spans="2:24" ht="17.7"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1187</v>
      </c>
      <c r="L732" s="28" t="s">
        <v>1193</v>
      </c>
      <c r="M732" s="20" t="s">
        <v>1194</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7"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1188</v>
      </c>
      <c r="L733" s="28" t="s">
        <v>1193</v>
      </c>
      <c r="M733" s="20" t="s">
        <v>1194</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7"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1190</v>
      </c>
      <c r="L734" s="28" t="s">
        <v>1193</v>
      </c>
      <c r="M734" s="20" t="s">
        <v>1194</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7"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1187</v>
      </c>
      <c r="L735" s="28" t="s">
        <v>1193</v>
      </c>
      <c r="M735" s="20" t="s">
        <v>1194</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7"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1188</v>
      </c>
      <c r="L736" s="28" t="s">
        <v>1193</v>
      </c>
      <c r="M736" s="20" t="s">
        <v>1194</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7"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1190</v>
      </c>
      <c r="L737" s="28" t="s">
        <v>1193</v>
      </c>
      <c r="M737" s="20" t="s">
        <v>1194</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7"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1187</v>
      </c>
      <c r="L738" s="28" t="s">
        <v>1193</v>
      </c>
      <c r="M738" s="20" t="s">
        <v>1194</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7"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1188</v>
      </c>
      <c r="L739" s="28" t="s">
        <v>1193</v>
      </c>
      <c r="M739" s="20" t="s">
        <v>1194</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7"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1190</v>
      </c>
      <c r="L740" s="28" t="s">
        <v>1193</v>
      </c>
      <c r="M740" s="20" t="s">
        <v>1194</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7"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1187</v>
      </c>
      <c r="L741" s="28" t="s">
        <v>1193</v>
      </c>
      <c r="M741" s="20" t="s">
        <v>1194</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7"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1188</v>
      </c>
      <c r="L742" s="28" t="s">
        <v>1193</v>
      </c>
      <c r="M742" s="20" t="s">
        <v>1194</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7"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1190</v>
      </c>
      <c r="L743" s="28" t="s">
        <v>1193</v>
      </c>
      <c r="M743" s="20" t="s">
        <v>1194</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7"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1187</v>
      </c>
      <c r="L744" s="28" t="s">
        <v>1185</v>
      </c>
      <c r="M744" s="20" t="s">
        <v>1195</v>
      </c>
      <c r="N744" s="47">
        <v>45618</v>
      </c>
      <c r="O744" s="20">
        <f>INDEX(Auxiliar!$D$5:$F$13,MATCH(Table1[[#This Row],[Tipologia_Testes]],Auxiliar!$B$5:$B$13,0),MATCH(Table1[[#This Row],[Complexidade]],Auxiliar!$D$4:$F$4,0))</f>
        <v>4</v>
      </c>
      <c r="P744" s="2" t="s">
        <v>1222</v>
      </c>
      <c r="Q744" s="2"/>
      <c r="R744" s="151">
        <v>45559</v>
      </c>
      <c r="S744" s="151"/>
      <c r="T744" s="151">
        <v>45559</v>
      </c>
      <c r="U744" s="151">
        <v>45607</v>
      </c>
      <c r="V744" s="151">
        <v>45608</v>
      </c>
      <c r="W744" s="2">
        <f>VLOOKUP(Table1[[#This Row],[Status]],Auxiliar!$B$16:$D$24,3,0)*Table1[[#This Row],[Estimação (horas)]]</f>
        <v>4</v>
      </c>
      <c r="X744" s="2"/>
    </row>
    <row r="745" spans="2:24" ht="17.7"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1188</v>
      </c>
      <c r="L745" s="28" t="s">
        <v>1185</v>
      </c>
      <c r="M745" s="20" t="s">
        <v>1195</v>
      </c>
      <c r="N745" s="47">
        <v>45618</v>
      </c>
      <c r="O745" s="20">
        <f>INDEX(Auxiliar!$D$5:$F$13,MATCH(Table1[[#This Row],[Tipologia_Testes]],Auxiliar!$B$5:$B$13,0),MATCH(Table1[[#This Row],[Complexidade]],Auxiliar!$D$4:$F$4,0))</f>
        <v>4</v>
      </c>
      <c r="P745" s="2" t="s">
        <v>1222</v>
      </c>
      <c r="Q745" s="2"/>
      <c r="R745" s="151">
        <v>45559</v>
      </c>
      <c r="S745" s="151"/>
      <c r="T745" s="151">
        <v>45559</v>
      </c>
      <c r="U745" s="151">
        <v>45607</v>
      </c>
      <c r="V745" s="151">
        <v>45608</v>
      </c>
      <c r="W745" s="2">
        <f>VLOOKUP(Table1[[#This Row],[Status]],Auxiliar!$B$16:$D$24,3,0)*Table1[[#This Row],[Estimação (horas)]]</f>
        <v>4</v>
      </c>
      <c r="X745" s="2"/>
    </row>
    <row r="746" spans="2:24" ht="17.7"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1190</v>
      </c>
      <c r="L746" s="28" t="s">
        <v>1185</v>
      </c>
      <c r="M746" s="20" t="s">
        <v>1195</v>
      </c>
      <c r="N746" s="47">
        <v>45618</v>
      </c>
      <c r="O746" s="20">
        <f>INDEX(Auxiliar!$D$5:$F$13,MATCH(Table1[[#This Row],[Tipologia_Testes]],Auxiliar!$B$5:$B$13,0),MATCH(Table1[[#This Row],[Complexidade]],Auxiliar!$D$4:$F$4,0))</f>
        <v>0.1</v>
      </c>
      <c r="P746" s="2" t="s">
        <v>1222</v>
      </c>
      <c r="Q746" s="2"/>
      <c r="R746" s="151">
        <v>45559</v>
      </c>
      <c r="S746" s="151"/>
      <c r="T746" s="151">
        <v>45559</v>
      </c>
      <c r="U746" s="151">
        <v>45607</v>
      </c>
      <c r="V746" s="151">
        <v>45608</v>
      </c>
      <c r="W746" s="2">
        <f>VLOOKUP(Table1[[#This Row],[Status]],Auxiliar!$B$16:$D$24,3,0)*Table1[[#This Row],[Estimação (horas)]]</f>
        <v>0.1</v>
      </c>
      <c r="X746" s="2"/>
    </row>
    <row r="747" spans="2:24" ht="17.7"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1187</v>
      </c>
      <c r="L747" s="28" t="s">
        <v>1185</v>
      </c>
      <c r="M747" s="20" t="s">
        <v>1195</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7"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1188</v>
      </c>
      <c r="L748" s="28" t="s">
        <v>1185</v>
      </c>
      <c r="M748" s="20" t="s">
        <v>1195</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7"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1190</v>
      </c>
      <c r="L749" s="28" t="s">
        <v>1185</v>
      </c>
      <c r="M749" s="20" t="s">
        <v>1195</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7"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1187</v>
      </c>
      <c r="L750" s="28" t="s">
        <v>1185</v>
      </c>
      <c r="M750" s="20" t="s">
        <v>1195</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7"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1188</v>
      </c>
      <c r="L751" s="28" t="s">
        <v>1185</v>
      </c>
      <c r="M751" s="20" t="s">
        <v>1195</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7"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1190</v>
      </c>
      <c r="L752" s="28" t="s">
        <v>1185</v>
      </c>
      <c r="M752" s="20" t="s">
        <v>1195</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7"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1187</v>
      </c>
      <c r="L753" s="28" t="s">
        <v>1185</v>
      </c>
      <c r="M753" s="20" t="s">
        <v>1195</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7"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1188</v>
      </c>
      <c r="L754" s="28" t="s">
        <v>1185</v>
      </c>
      <c r="M754" s="20" t="s">
        <v>1195</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7"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1190</v>
      </c>
      <c r="L755" s="28" t="s">
        <v>1185</v>
      </c>
      <c r="M755" s="20" t="s">
        <v>1195</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7"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1187</v>
      </c>
      <c r="L756" s="28" t="s">
        <v>1193</v>
      </c>
      <c r="M756" s="20" t="s">
        <v>1194</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7"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1188</v>
      </c>
      <c r="L757" s="28" t="s">
        <v>1193</v>
      </c>
      <c r="M757" s="20" t="s">
        <v>1194</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7"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1190</v>
      </c>
      <c r="L758" s="28" t="s">
        <v>1193</v>
      </c>
      <c r="M758" s="20" t="s">
        <v>1194</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1187</v>
      </c>
      <c r="L759" s="28" t="s">
        <v>1185</v>
      </c>
      <c r="M759" s="20" t="s">
        <v>1186</v>
      </c>
      <c r="N759" s="47">
        <v>45632</v>
      </c>
      <c r="O759" s="20">
        <f>INDEX(Auxiliar!$D$5:$F$13,MATCH(Table1[[#This Row],[Tipologia_Testes]],Auxiliar!$B$5:$B$13,0),MATCH(Table1[[#This Row],[Complexidade]],Auxiliar!$D$4:$F$4,0))</f>
        <v>8</v>
      </c>
      <c r="P759" s="22" t="s">
        <v>1223</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1188</v>
      </c>
      <c r="L760" s="28" t="s">
        <v>1185</v>
      </c>
      <c r="M760" s="20" t="s">
        <v>1186</v>
      </c>
      <c r="N760" s="47">
        <v>45632</v>
      </c>
      <c r="O760" s="20">
        <f>INDEX(Auxiliar!$D$5:$F$13,MATCH(Table1[[#This Row],[Tipologia_Testes]],Auxiliar!$B$5:$B$13,0),MATCH(Table1[[#This Row],[Complexidade]],Auxiliar!$D$4:$F$4,0))</f>
        <v>8</v>
      </c>
      <c r="P760" s="22" t="s">
        <v>1223</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1190</v>
      </c>
      <c r="L761" s="28" t="s">
        <v>1185</v>
      </c>
      <c r="M761" s="20" t="s">
        <v>1186</v>
      </c>
      <c r="N761" s="47">
        <v>45632</v>
      </c>
      <c r="O761" s="20">
        <f>INDEX(Auxiliar!$D$5:$F$13,MATCH(Table1[[#This Row],[Tipologia_Testes]],Auxiliar!$B$5:$B$13,0),MATCH(Table1[[#This Row],[Complexidade]],Auxiliar!$D$4:$F$4,0))</f>
        <v>0.1</v>
      </c>
      <c r="P761" s="22" t="s">
        <v>1223</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1187</v>
      </c>
      <c r="L762" s="28" t="s">
        <v>1185</v>
      </c>
      <c r="M762" s="20" t="s">
        <v>1186</v>
      </c>
      <c r="N762" s="47">
        <v>45632</v>
      </c>
      <c r="O762" s="20">
        <f>INDEX(Auxiliar!$D$5:$F$13,MATCH(Table1[[#This Row],[Tipologia_Testes]],Auxiliar!$B$5:$B$13,0),MATCH(Table1[[#This Row],[Complexidade]],Auxiliar!$D$4:$F$4,0))</f>
        <v>8</v>
      </c>
      <c r="P762" s="22" t="s">
        <v>1223</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1188</v>
      </c>
      <c r="L763" s="28" t="s">
        <v>1185</v>
      </c>
      <c r="M763" s="20" t="s">
        <v>1186</v>
      </c>
      <c r="N763" s="47">
        <v>45632</v>
      </c>
      <c r="O763" s="20">
        <f>INDEX(Auxiliar!$D$5:$F$13,MATCH(Table1[[#This Row],[Tipologia_Testes]],Auxiliar!$B$5:$B$13,0),MATCH(Table1[[#This Row],[Complexidade]],Auxiliar!$D$4:$F$4,0))</f>
        <v>8</v>
      </c>
      <c r="P763" s="22" t="s">
        <v>1223</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1190</v>
      </c>
      <c r="L764" s="28" t="s">
        <v>1185</v>
      </c>
      <c r="M764" s="20" t="s">
        <v>1186</v>
      </c>
      <c r="N764" s="47">
        <v>45632</v>
      </c>
      <c r="O764" s="20">
        <f>INDEX(Auxiliar!$D$5:$F$13,MATCH(Table1[[#This Row],[Tipologia_Testes]],Auxiliar!$B$5:$B$13,0),MATCH(Table1[[#This Row],[Complexidade]],Auxiliar!$D$4:$F$4,0))</f>
        <v>0.1</v>
      </c>
      <c r="P764" s="22" t="s">
        <v>1223</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1187</v>
      </c>
      <c r="L765" s="28" t="s">
        <v>1185</v>
      </c>
      <c r="M765" s="20" t="s">
        <v>1186</v>
      </c>
      <c r="N765" s="47">
        <v>45618</v>
      </c>
      <c r="O765" s="20">
        <f>INDEX(Auxiliar!$D$5:$F$13,MATCH(Table1[[#This Row],[Tipologia_Testes]],Auxiliar!$B$5:$B$13,0),MATCH(Table1[[#This Row],[Complexidade]],Auxiliar!$D$4:$F$4,0))</f>
        <v>8</v>
      </c>
      <c r="P765" s="22" t="s">
        <v>1223</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1188</v>
      </c>
      <c r="L766" s="28" t="s">
        <v>1185</v>
      </c>
      <c r="M766" s="20" t="s">
        <v>1186</v>
      </c>
      <c r="N766" s="47">
        <v>45618</v>
      </c>
      <c r="O766" s="20">
        <f>INDEX(Auxiliar!$D$5:$F$13,MATCH(Table1[[#This Row],[Tipologia_Testes]],Auxiliar!$B$5:$B$13,0),MATCH(Table1[[#This Row],[Complexidade]],Auxiliar!$D$4:$F$4,0))</f>
        <v>8</v>
      </c>
      <c r="P766" s="22" t="s">
        <v>1223</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1190</v>
      </c>
      <c r="L767" s="28" t="s">
        <v>1185</v>
      </c>
      <c r="M767" s="20" t="s">
        <v>1186</v>
      </c>
      <c r="N767" s="47">
        <v>45618</v>
      </c>
      <c r="O767" s="20">
        <f>INDEX(Auxiliar!$D$5:$F$13,MATCH(Table1[[#This Row],[Tipologia_Testes]],Auxiliar!$B$5:$B$13,0),MATCH(Table1[[#This Row],[Complexidade]],Auxiliar!$D$4:$F$4,0))</f>
        <v>0.1</v>
      </c>
      <c r="P767" s="22" t="s">
        <v>1223</v>
      </c>
      <c r="Q767" s="2"/>
      <c r="R767" s="151">
        <v>45566</v>
      </c>
      <c r="S767" s="151"/>
      <c r="T767" s="151">
        <v>45569</v>
      </c>
      <c r="U767" s="151">
        <v>45607</v>
      </c>
      <c r="V767" s="151">
        <v>45608</v>
      </c>
      <c r="W767" s="2">
        <f>VLOOKUP(Table1[[#This Row],[Status]],Auxiliar!$B$16:$D$24,3,0)*Table1[[#This Row],[Estimação (horas)]]</f>
        <v>0.1</v>
      </c>
      <c r="X767" s="2"/>
    </row>
    <row r="768" spans="2:24" ht="17.7"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1187</v>
      </c>
      <c r="L768" s="28" t="s">
        <v>1193</v>
      </c>
      <c r="M768" s="20" t="s">
        <v>1194</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7"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1188</v>
      </c>
      <c r="L769" s="28" t="s">
        <v>1193</v>
      </c>
      <c r="M769" s="20" t="s">
        <v>1194</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7"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1190</v>
      </c>
      <c r="L770" s="28" t="s">
        <v>1193</v>
      </c>
      <c r="M770" s="20" t="s">
        <v>1194</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7"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1187</v>
      </c>
      <c r="L771" s="28" t="s">
        <v>1193</v>
      </c>
      <c r="M771" s="20" t="s">
        <v>1194</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7"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1188</v>
      </c>
      <c r="L772" s="28" t="s">
        <v>1193</v>
      </c>
      <c r="M772" s="20" t="s">
        <v>1194</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7"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1190</v>
      </c>
      <c r="L773" s="28" t="s">
        <v>1193</v>
      </c>
      <c r="M773" s="20" t="s">
        <v>1194</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7"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1187</v>
      </c>
      <c r="L774" s="28" t="s">
        <v>1193</v>
      </c>
      <c r="M774" s="20" t="s">
        <v>1194</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7"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1188</v>
      </c>
      <c r="L775" s="28" t="s">
        <v>1193</v>
      </c>
      <c r="M775" s="20" t="s">
        <v>1194</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7"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1190</v>
      </c>
      <c r="L776" s="28" t="s">
        <v>1193</v>
      </c>
      <c r="M776" s="20" t="s">
        <v>1194</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2137</v>
      </c>
      <c r="G777" s="2" t="s">
        <v>38</v>
      </c>
      <c r="H777" s="56" t="str">
        <f>Table1[[#This Row],[Tabela]]&amp;Table1[[#This Row],[Campo]]</f>
        <v>modesg_out_sfics_taxon_europeian.a.</v>
      </c>
      <c r="I777" s="2" t="s">
        <v>614</v>
      </c>
      <c r="J777" s="42">
        <f>VLOOKUP(Table1[[#This Row],[Status]],Auxiliar!$B$16:$C$24,2,0)</f>
        <v>5</v>
      </c>
      <c r="K777" s="2" t="s">
        <v>1184</v>
      </c>
      <c r="L777" s="28" t="s">
        <v>1185</v>
      </c>
      <c r="M777" s="20" t="s">
        <v>1186</v>
      </c>
      <c r="N777" s="47">
        <v>45674</v>
      </c>
      <c r="O777" s="20">
        <f>INDEX(Auxiliar!$D$5:$F$13,MATCH(Table1[[#This Row],[Tipologia_Testes]],Auxiliar!$B$5:$B$13,0),MATCH(Table1[[#This Row],[Complexidade]],Auxiliar!$D$4:$F$4,0))</f>
        <v>8</v>
      </c>
      <c r="P777" s="22" t="s">
        <v>1224</v>
      </c>
      <c r="Q777" s="2"/>
      <c r="R777" s="151">
        <v>45563</v>
      </c>
      <c r="S777" s="151"/>
      <c r="T777" s="151">
        <v>45563</v>
      </c>
      <c r="U777" s="151">
        <v>45624</v>
      </c>
      <c r="V777" s="151">
        <v>45629</v>
      </c>
      <c r="W777" s="2">
        <f>VLOOKUP(Table1[[#This Row],[Status]],Auxiliar!$B$16:$D$24,3,0)*Table1[[#This Row],[Estimação (horas)]]</f>
        <v>2</v>
      </c>
      <c r="X777" s="2"/>
    </row>
    <row r="778" spans="2:24" ht="17.7" hidden="1" customHeight="1">
      <c r="B778" s="2" t="s">
        <v>26</v>
      </c>
      <c r="C778" s="2" t="s">
        <v>310</v>
      </c>
      <c r="D778" s="2" t="s">
        <v>334</v>
      </c>
      <c r="E778" s="2" t="s">
        <v>38</v>
      </c>
      <c r="F778" s="2" t="s">
        <v>2137</v>
      </c>
      <c r="G778" s="2" t="s">
        <v>183</v>
      </c>
      <c r="H778" s="56" t="str">
        <f>Table1[[#This Row],[Tabela]]&amp;Table1[[#This Row],[Campo]]</f>
        <v>modesg_out_sfics_taxon_europeiacbalcao</v>
      </c>
      <c r="I778" s="2" t="s">
        <v>614</v>
      </c>
      <c r="J778" s="42">
        <f>VLOOKUP(Table1[[#This Row],[Status]],Auxiliar!$B$16:$C$24,2,0)</f>
        <v>5</v>
      </c>
      <c r="K778" s="2" t="s">
        <v>1187</v>
      </c>
      <c r="L778" s="28" t="s">
        <v>1193</v>
      </c>
      <c r="M778" s="20" t="s">
        <v>1194</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7" hidden="1" customHeight="1">
      <c r="B779" s="2" t="s">
        <v>26</v>
      </c>
      <c r="C779" s="2" t="s">
        <v>310</v>
      </c>
      <c r="D779" s="2" t="s">
        <v>334</v>
      </c>
      <c r="E779" s="2" t="s">
        <v>38</v>
      </c>
      <c r="F779" s="2" t="s">
        <v>2137</v>
      </c>
      <c r="G779" s="2" t="s">
        <v>183</v>
      </c>
      <c r="H779" s="56" t="str">
        <f>Table1[[#This Row],[Tabela]]&amp;Table1[[#This Row],[Campo]]</f>
        <v>modesg_out_sfics_taxon_europeiacbalcao</v>
      </c>
      <c r="I779" s="2" t="s">
        <v>614</v>
      </c>
      <c r="J779" s="42">
        <f>VLOOKUP(Table1[[#This Row],[Status]],Auxiliar!$B$16:$C$24,2,0)</f>
        <v>5</v>
      </c>
      <c r="K779" s="2" t="s">
        <v>1188</v>
      </c>
      <c r="L779" s="28" t="s">
        <v>1193</v>
      </c>
      <c r="M779" s="20" t="s">
        <v>1194</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7" hidden="1" customHeight="1">
      <c r="B780" s="2" t="s">
        <v>26</v>
      </c>
      <c r="C780" s="2" t="s">
        <v>310</v>
      </c>
      <c r="D780" s="2" t="s">
        <v>334</v>
      </c>
      <c r="E780" s="2" t="s">
        <v>38</v>
      </c>
      <c r="F780" s="2" t="s">
        <v>2137</v>
      </c>
      <c r="G780" s="2" t="s">
        <v>183</v>
      </c>
      <c r="H780" s="56" t="str">
        <f>Table1[[#This Row],[Tabela]]&amp;Table1[[#This Row],[Campo]]</f>
        <v>modesg_out_sfics_taxon_europeiacbalcao</v>
      </c>
      <c r="I780" s="2" t="s">
        <v>614</v>
      </c>
      <c r="J780" s="42">
        <f>VLOOKUP(Table1[[#This Row],[Status]],Auxiliar!$B$16:$C$24,2,0)</f>
        <v>5</v>
      </c>
      <c r="K780" s="2" t="s">
        <v>1190</v>
      </c>
      <c r="L780" s="28" t="s">
        <v>1193</v>
      </c>
      <c r="M780" s="20" t="s">
        <v>1194</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7" hidden="1" customHeight="1">
      <c r="B781" s="2" t="s">
        <v>26</v>
      </c>
      <c r="C781" s="2" t="s">
        <v>310</v>
      </c>
      <c r="D781" s="2" t="s">
        <v>334</v>
      </c>
      <c r="E781" s="2" t="s">
        <v>38</v>
      </c>
      <c r="F781" s="2" t="s">
        <v>2137</v>
      </c>
      <c r="G781" s="2" t="s">
        <v>184</v>
      </c>
      <c r="H781" s="56" t="str">
        <f>Table1[[#This Row],[Tabela]]&amp;Table1[[#This Row],[Campo]]</f>
        <v>modesg_out_sfics_taxon_europeiacempresa</v>
      </c>
      <c r="I781" s="2" t="s">
        <v>614</v>
      </c>
      <c r="J781" s="42">
        <f>VLOOKUP(Table1[[#This Row],[Status]],Auxiliar!$B$16:$C$24,2,0)</f>
        <v>5</v>
      </c>
      <c r="K781" s="2" t="s">
        <v>1187</v>
      </c>
      <c r="L781" s="28" t="s">
        <v>1193</v>
      </c>
      <c r="M781" s="20" t="s">
        <v>1194</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7" hidden="1" customHeight="1">
      <c r="B782" s="2" t="s">
        <v>26</v>
      </c>
      <c r="C782" s="2" t="s">
        <v>310</v>
      </c>
      <c r="D782" s="2" t="s">
        <v>334</v>
      </c>
      <c r="E782" s="2" t="s">
        <v>38</v>
      </c>
      <c r="F782" s="2" t="s">
        <v>2137</v>
      </c>
      <c r="G782" s="2" t="s">
        <v>184</v>
      </c>
      <c r="H782" s="56" t="str">
        <f>Table1[[#This Row],[Tabela]]&amp;Table1[[#This Row],[Campo]]</f>
        <v>modesg_out_sfics_taxon_europeiacempresa</v>
      </c>
      <c r="I782" s="2" t="s">
        <v>614</v>
      </c>
      <c r="J782" s="42">
        <f>VLOOKUP(Table1[[#This Row],[Status]],Auxiliar!$B$16:$C$24,2,0)</f>
        <v>5</v>
      </c>
      <c r="K782" s="2" t="s">
        <v>1188</v>
      </c>
      <c r="L782" s="28" t="s">
        <v>1193</v>
      </c>
      <c r="M782" s="20" t="s">
        <v>1194</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7" hidden="1" customHeight="1">
      <c r="B783" s="2" t="s">
        <v>26</v>
      </c>
      <c r="C783" s="2" t="s">
        <v>310</v>
      </c>
      <c r="D783" s="2" t="s">
        <v>334</v>
      </c>
      <c r="E783" s="2" t="s">
        <v>38</v>
      </c>
      <c r="F783" s="2" t="s">
        <v>2137</v>
      </c>
      <c r="G783" s="2" t="s">
        <v>184</v>
      </c>
      <c r="H783" s="56" t="str">
        <f>Table1[[#This Row],[Tabela]]&amp;Table1[[#This Row],[Campo]]</f>
        <v>modesg_out_sfics_taxon_europeiacempresa</v>
      </c>
      <c r="I783" s="2" t="s">
        <v>614</v>
      </c>
      <c r="J783" s="42">
        <f>VLOOKUP(Table1[[#This Row],[Status]],Auxiliar!$B$16:$C$24,2,0)</f>
        <v>5</v>
      </c>
      <c r="K783" s="2" t="s">
        <v>1190</v>
      </c>
      <c r="L783" s="28" t="s">
        <v>1193</v>
      </c>
      <c r="M783" s="20" t="s">
        <v>1194</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7" hidden="1" customHeight="1">
      <c r="B784" s="2" t="s">
        <v>26</v>
      </c>
      <c r="C784" s="2" t="s">
        <v>310</v>
      </c>
      <c r="D784" s="2" t="s">
        <v>334</v>
      </c>
      <c r="E784" s="2" t="s">
        <v>38</v>
      </c>
      <c r="F784" s="2" t="s">
        <v>2137</v>
      </c>
      <c r="G784" s="2" t="s">
        <v>189</v>
      </c>
      <c r="H784" s="56" t="str">
        <f>Table1[[#This Row],[Tabela]]&amp;Table1[[#This Row],[Campo]]</f>
        <v>modesg_out_sfics_taxon_europeiacnumecta</v>
      </c>
      <c r="I784" s="2" t="s">
        <v>614</v>
      </c>
      <c r="J784" s="42">
        <f>VLOOKUP(Table1[[#This Row],[Status]],Auxiliar!$B$16:$C$24,2,0)</f>
        <v>5</v>
      </c>
      <c r="K784" s="2" t="s">
        <v>1187</v>
      </c>
      <c r="L784" s="28" t="s">
        <v>1193</v>
      </c>
      <c r="M784" s="20" t="s">
        <v>1194</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7" hidden="1" customHeight="1">
      <c r="B785" s="2" t="s">
        <v>26</v>
      </c>
      <c r="C785" s="2" t="s">
        <v>310</v>
      </c>
      <c r="D785" s="2" t="s">
        <v>334</v>
      </c>
      <c r="E785" s="2" t="s">
        <v>38</v>
      </c>
      <c r="F785" s="2" t="s">
        <v>2137</v>
      </c>
      <c r="G785" s="2" t="s">
        <v>189</v>
      </c>
      <c r="H785" s="56" t="str">
        <f>Table1[[#This Row],[Tabela]]&amp;Table1[[#This Row],[Campo]]</f>
        <v>modesg_out_sfics_taxon_europeiacnumecta</v>
      </c>
      <c r="I785" s="2" t="s">
        <v>614</v>
      </c>
      <c r="J785" s="42">
        <f>VLOOKUP(Table1[[#This Row],[Status]],Auxiliar!$B$16:$C$24,2,0)</f>
        <v>5</v>
      </c>
      <c r="K785" s="2" t="s">
        <v>1188</v>
      </c>
      <c r="L785" s="28" t="s">
        <v>1193</v>
      </c>
      <c r="M785" s="20" t="s">
        <v>1194</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7" hidden="1" customHeight="1">
      <c r="B786" s="2" t="s">
        <v>26</v>
      </c>
      <c r="C786" s="2" t="s">
        <v>310</v>
      </c>
      <c r="D786" s="2" t="s">
        <v>334</v>
      </c>
      <c r="E786" s="2" t="s">
        <v>38</v>
      </c>
      <c r="F786" s="2" t="s">
        <v>2137</v>
      </c>
      <c r="G786" s="2" t="s">
        <v>189</v>
      </c>
      <c r="H786" s="56" t="str">
        <f>Table1[[#This Row],[Tabela]]&amp;Table1[[#This Row],[Campo]]</f>
        <v>modesg_out_sfics_taxon_europeiacnumecta</v>
      </c>
      <c r="I786" s="2" t="s">
        <v>614</v>
      </c>
      <c r="J786" s="42">
        <f>VLOOKUP(Table1[[#This Row],[Status]],Auxiliar!$B$16:$C$24,2,0)</f>
        <v>5</v>
      </c>
      <c r="K786" s="2" t="s">
        <v>1190</v>
      </c>
      <c r="L786" s="28" t="s">
        <v>1193</v>
      </c>
      <c r="M786" s="20" t="s">
        <v>1194</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7" hidden="1" customHeight="1">
      <c r="B787" s="2" t="s">
        <v>26</v>
      </c>
      <c r="C787" s="2" t="s">
        <v>310</v>
      </c>
      <c r="D787" s="2" t="s">
        <v>334</v>
      </c>
      <c r="E787" s="2" t="s">
        <v>38</v>
      </c>
      <c r="F787" s="2" t="s">
        <v>2137</v>
      </c>
      <c r="G787" s="2" t="s">
        <v>191</v>
      </c>
      <c r="H787" s="56" t="str">
        <f>Table1[[#This Row],[Tabela]]&amp;Table1[[#This Row],[Campo]]</f>
        <v>modesg_out_sfics_taxon_europeiacod_regra</v>
      </c>
      <c r="I787" s="2" t="s">
        <v>614</v>
      </c>
      <c r="J787" s="42">
        <f>VLOOKUP(Table1[[#This Row],[Status]],Auxiliar!$B$16:$C$24,2,0)</f>
        <v>5</v>
      </c>
      <c r="K787" s="2" t="s">
        <v>1187</v>
      </c>
      <c r="L787" s="28" t="s">
        <v>1185</v>
      </c>
      <c r="M787" s="20" t="s">
        <v>1194</v>
      </c>
      <c r="N787" s="47">
        <v>45674</v>
      </c>
      <c r="O787" s="20">
        <f>INDEX(Auxiliar!$D$5:$F$13,MATCH(Table1[[#This Row],[Tipologia_Testes]],Auxiliar!$B$5:$B$13,0),MATCH(Table1[[#This Row],[Complexidade]],Auxiliar!$D$4:$F$4,0))</f>
        <v>2</v>
      </c>
      <c r="P787" s="2" t="s">
        <v>1225</v>
      </c>
      <c r="Q787" s="2"/>
      <c r="R787" s="151">
        <v>45563</v>
      </c>
      <c r="S787" s="151"/>
      <c r="T787" s="151">
        <v>45563</v>
      </c>
      <c r="U787" s="151">
        <v>45624</v>
      </c>
      <c r="V787" s="151">
        <v>45629</v>
      </c>
      <c r="W787" s="2">
        <f>VLOOKUP(Table1[[#This Row],[Status]],Auxiliar!$B$16:$D$24,3,0)*Table1[[#This Row],[Estimação (horas)]]</f>
        <v>0.5</v>
      </c>
      <c r="X787" s="2"/>
    </row>
    <row r="788" spans="2:24" ht="17.7" hidden="1" customHeight="1">
      <c r="B788" s="2" t="s">
        <v>26</v>
      </c>
      <c r="C788" s="2" t="s">
        <v>310</v>
      </c>
      <c r="D788" s="2" t="s">
        <v>334</v>
      </c>
      <c r="E788" s="2" t="s">
        <v>38</v>
      </c>
      <c r="F788" s="2" t="s">
        <v>2137</v>
      </c>
      <c r="G788" s="2" t="s">
        <v>191</v>
      </c>
      <c r="H788" s="56" t="str">
        <f>Table1[[#This Row],[Tabela]]&amp;Table1[[#This Row],[Campo]]</f>
        <v>modesg_out_sfics_taxon_europeiacod_regra</v>
      </c>
      <c r="I788" s="2" t="s">
        <v>614</v>
      </c>
      <c r="J788" s="42">
        <f>VLOOKUP(Table1[[#This Row],[Status]],Auxiliar!$B$16:$C$24,2,0)</f>
        <v>5</v>
      </c>
      <c r="K788" s="2" t="s">
        <v>1188</v>
      </c>
      <c r="L788" s="28" t="s">
        <v>1185</v>
      </c>
      <c r="M788" s="20" t="s">
        <v>1194</v>
      </c>
      <c r="N788" s="47">
        <v>45674</v>
      </c>
      <c r="O788" s="20">
        <f>INDEX(Auxiliar!$D$5:$F$13,MATCH(Table1[[#This Row],[Tipologia_Testes]],Auxiliar!$B$5:$B$13,0),MATCH(Table1[[#This Row],[Complexidade]],Auxiliar!$D$4:$F$4,0))</f>
        <v>2</v>
      </c>
      <c r="P788" s="2" t="s">
        <v>1225</v>
      </c>
      <c r="Q788" s="2"/>
      <c r="R788" s="151">
        <v>45563</v>
      </c>
      <c r="S788" s="151"/>
      <c r="T788" s="151">
        <v>45563</v>
      </c>
      <c r="U788" s="151">
        <v>45624</v>
      </c>
      <c r="V788" s="151">
        <v>45629</v>
      </c>
      <c r="W788" s="2">
        <f>VLOOKUP(Table1[[#This Row],[Status]],Auxiliar!$B$16:$D$24,3,0)*Table1[[#This Row],[Estimação (horas)]]</f>
        <v>0.5</v>
      </c>
      <c r="X788" s="2"/>
    </row>
    <row r="789" spans="2:24" ht="17.7" hidden="1" customHeight="1">
      <c r="B789" s="2" t="s">
        <v>26</v>
      </c>
      <c r="C789" s="2" t="s">
        <v>310</v>
      </c>
      <c r="D789" s="2" t="s">
        <v>334</v>
      </c>
      <c r="E789" s="2" t="s">
        <v>38</v>
      </c>
      <c r="F789" s="2" t="s">
        <v>2137</v>
      </c>
      <c r="G789" s="2" t="s">
        <v>191</v>
      </c>
      <c r="H789" s="56" t="str">
        <f>Table1[[#This Row],[Tabela]]&amp;Table1[[#This Row],[Campo]]</f>
        <v>modesg_out_sfics_taxon_europeiacod_regra</v>
      </c>
      <c r="I789" s="2" t="s">
        <v>614</v>
      </c>
      <c r="J789" s="42">
        <f>VLOOKUP(Table1[[#This Row],[Status]],Auxiliar!$B$16:$C$24,2,0)</f>
        <v>5</v>
      </c>
      <c r="K789" s="2" t="s">
        <v>1190</v>
      </c>
      <c r="L789" s="28" t="s">
        <v>1185</v>
      </c>
      <c r="M789" s="20" t="s">
        <v>1194</v>
      </c>
      <c r="N789" s="47">
        <v>45674</v>
      </c>
      <c r="O789" s="20">
        <f>INDEX(Auxiliar!$D$5:$F$13,MATCH(Table1[[#This Row],[Tipologia_Testes]],Auxiliar!$B$5:$B$13,0),MATCH(Table1[[#This Row],[Complexidade]],Auxiliar!$D$4:$F$4,0))</f>
        <v>0.1</v>
      </c>
      <c r="P789" s="2" t="s">
        <v>1225</v>
      </c>
      <c r="Q789" s="2"/>
      <c r="R789" s="151">
        <v>45563</v>
      </c>
      <c r="S789" s="151"/>
      <c r="T789" s="151">
        <v>45563</v>
      </c>
      <c r="U789" s="151">
        <v>45624</v>
      </c>
      <c r="V789" s="151">
        <v>45629</v>
      </c>
      <c r="W789" s="2">
        <f>VLOOKUP(Table1[[#This Row],[Status]],Auxiliar!$B$16:$D$24,3,0)*Table1[[#This Row],[Estimação (horas)]]</f>
        <v>2.5000000000000001E-2</v>
      </c>
      <c r="X789" s="2"/>
    </row>
    <row r="790" spans="2:24" ht="17.7" hidden="1" customHeight="1">
      <c r="B790" s="2" t="s">
        <v>26</v>
      </c>
      <c r="C790" s="2" t="s">
        <v>310</v>
      </c>
      <c r="D790" s="2" t="s">
        <v>334</v>
      </c>
      <c r="E790" s="2" t="s">
        <v>38</v>
      </c>
      <c r="F790" s="2" t="s">
        <v>2137</v>
      </c>
      <c r="G790" s="2" t="s">
        <v>211</v>
      </c>
      <c r="H790" s="56" t="str">
        <f>Table1[[#This Row],[Tabela]]&amp;Table1[[#This Row],[Campo]]</f>
        <v>modesg_out_sfics_taxon_europeiaordem</v>
      </c>
      <c r="I790" s="2" t="s">
        <v>611</v>
      </c>
      <c r="J790" s="42">
        <f>VLOOKUP(Table1[[#This Row],[Status]],Auxiliar!$B$16:$C$24,2,0)</f>
        <v>0</v>
      </c>
      <c r="K790" s="2" t="s">
        <v>1187</v>
      </c>
      <c r="L790" s="28" t="s">
        <v>1226</v>
      </c>
      <c r="M790" s="20" t="s">
        <v>1194</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7" hidden="1" customHeight="1">
      <c r="B791" s="2" t="s">
        <v>26</v>
      </c>
      <c r="C791" s="2" t="s">
        <v>310</v>
      </c>
      <c r="D791" s="2" t="s">
        <v>334</v>
      </c>
      <c r="E791" s="2" t="s">
        <v>38</v>
      </c>
      <c r="F791" s="2" t="s">
        <v>2137</v>
      </c>
      <c r="G791" s="2" t="s">
        <v>211</v>
      </c>
      <c r="H791" s="56" t="str">
        <f>Table1[[#This Row],[Tabela]]&amp;Table1[[#This Row],[Campo]]</f>
        <v>modesg_out_sfics_taxon_europeiaordem</v>
      </c>
      <c r="I791" s="2" t="s">
        <v>611</v>
      </c>
      <c r="J791" s="42">
        <f>VLOOKUP(Table1[[#This Row],[Status]],Auxiliar!$B$16:$C$24,2,0)</f>
        <v>0</v>
      </c>
      <c r="K791" s="2" t="s">
        <v>1188</v>
      </c>
      <c r="L791" s="28" t="s">
        <v>1226</v>
      </c>
      <c r="M791" s="20" t="s">
        <v>1194</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7" hidden="1" customHeight="1">
      <c r="B792" s="2" t="s">
        <v>26</v>
      </c>
      <c r="C792" s="2" t="s">
        <v>310</v>
      </c>
      <c r="D792" s="2" t="s">
        <v>334</v>
      </c>
      <c r="E792" s="2" t="s">
        <v>38</v>
      </c>
      <c r="F792" s="2" t="s">
        <v>2137</v>
      </c>
      <c r="G792" s="2" t="s">
        <v>211</v>
      </c>
      <c r="H792" s="56" t="str">
        <f>Table1[[#This Row],[Tabela]]&amp;Table1[[#This Row],[Campo]]</f>
        <v>modesg_out_sfics_taxon_europeiaordem</v>
      </c>
      <c r="I792" s="2" t="s">
        <v>611</v>
      </c>
      <c r="J792" s="42">
        <f>VLOOKUP(Table1[[#This Row],[Status]],Auxiliar!$B$16:$C$24,2,0)</f>
        <v>0</v>
      </c>
      <c r="K792" s="2" t="s">
        <v>1190</v>
      </c>
      <c r="L792" s="28" t="s">
        <v>1226</v>
      </c>
      <c r="M792" s="20" t="s">
        <v>1194</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19999999999999" hidden="1" customHeight="1">
      <c r="B793" s="2" t="s">
        <v>26</v>
      </c>
      <c r="C793" s="2" t="s">
        <v>310</v>
      </c>
      <c r="D793" s="2" t="s">
        <v>334</v>
      </c>
      <c r="E793" s="2" t="s">
        <v>38</v>
      </c>
      <c r="F793" s="2" t="s">
        <v>2137</v>
      </c>
      <c r="G793" s="2" t="s">
        <v>202</v>
      </c>
      <c r="H793" s="56" t="str">
        <f>Table1[[#This Row],[Tabela]]&amp;Table1[[#This Row],[Campo]]</f>
        <v>modesg_out_sfics_taxon_europeiamontante_pndrc</v>
      </c>
      <c r="I793" s="2" t="s">
        <v>614</v>
      </c>
      <c r="J793" s="42">
        <f>VLOOKUP(Table1[[#This Row],[Status]],Auxiliar!$B$16:$C$24,2,0)</f>
        <v>5</v>
      </c>
      <c r="K793" s="2" t="s">
        <v>1187</v>
      </c>
      <c r="L793" s="28" t="s">
        <v>1185</v>
      </c>
      <c r="M793" s="20" t="s">
        <v>1186</v>
      </c>
      <c r="N793" s="47">
        <v>45674</v>
      </c>
      <c r="O793" s="20">
        <f>INDEX(Auxiliar!$D$5:$F$13,MATCH(Table1[[#This Row],[Tipologia_Testes]],Auxiliar!$B$5:$B$13,0),MATCH(Table1[[#This Row],[Complexidade]],Auxiliar!$D$4:$F$4,0))</f>
        <v>8</v>
      </c>
      <c r="P793" s="22" t="s">
        <v>1227</v>
      </c>
      <c r="Q793" s="2"/>
      <c r="R793" s="151">
        <v>45563</v>
      </c>
      <c r="S793" s="151"/>
      <c r="T793" s="151">
        <v>45563</v>
      </c>
      <c r="U793" s="151">
        <v>45624</v>
      </c>
      <c r="V793" s="151">
        <v>45629</v>
      </c>
      <c r="W793" s="2">
        <f>VLOOKUP(Table1[[#This Row],[Status]],Auxiliar!$B$16:$D$24,3,0)*Table1[[#This Row],[Estimação (horas)]]</f>
        <v>2</v>
      </c>
      <c r="X793" s="2"/>
    </row>
    <row r="794" spans="2:24" ht="139.19999999999999" hidden="1" customHeight="1">
      <c r="B794" s="2" t="s">
        <v>26</v>
      </c>
      <c r="C794" s="2" t="s">
        <v>310</v>
      </c>
      <c r="D794" s="2" t="s">
        <v>334</v>
      </c>
      <c r="E794" s="2" t="s">
        <v>38</v>
      </c>
      <c r="F794" s="2" t="s">
        <v>2137</v>
      </c>
      <c r="G794" s="2" t="s">
        <v>202</v>
      </c>
      <c r="H794" s="56" t="str">
        <f>Table1[[#This Row],[Tabela]]&amp;Table1[[#This Row],[Campo]]</f>
        <v>modesg_out_sfics_taxon_europeiamontante_pndrc</v>
      </c>
      <c r="I794" s="2" t="s">
        <v>614</v>
      </c>
      <c r="J794" s="42">
        <f>VLOOKUP(Table1[[#This Row],[Status]],Auxiliar!$B$16:$C$24,2,0)</f>
        <v>5</v>
      </c>
      <c r="K794" s="2" t="s">
        <v>1188</v>
      </c>
      <c r="L794" s="28" t="s">
        <v>1185</v>
      </c>
      <c r="M794" s="20" t="s">
        <v>1186</v>
      </c>
      <c r="N794" s="47">
        <v>45674</v>
      </c>
      <c r="O794" s="20">
        <f>INDEX(Auxiliar!$D$5:$F$13,MATCH(Table1[[#This Row],[Tipologia_Testes]],Auxiliar!$B$5:$B$13,0),MATCH(Table1[[#This Row],[Complexidade]],Auxiliar!$D$4:$F$4,0))</f>
        <v>8</v>
      </c>
      <c r="P794" s="22" t="s">
        <v>1227</v>
      </c>
      <c r="Q794" s="2"/>
      <c r="R794" s="151">
        <v>45563</v>
      </c>
      <c r="S794" s="151"/>
      <c r="T794" s="151">
        <v>45563</v>
      </c>
      <c r="U794" s="151">
        <v>45624</v>
      </c>
      <c r="V794" s="151">
        <v>45629</v>
      </c>
      <c r="W794" s="2">
        <f>VLOOKUP(Table1[[#This Row],[Status]],Auxiliar!$B$16:$D$24,3,0)*Table1[[#This Row],[Estimação (horas)]]</f>
        <v>2</v>
      </c>
      <c r="X794" s="2"/>
    </row>
    <row r="795" spans="2:24" ht="139.19999999999999" hidden="1" customHeight="1">
      <c r="B795" s="2" t="s">
        <v>26</v>
      </c>
      <c r="C795" s="2" t="s">
        <v>310</v>
      </c>
      <c r="D795" s="2" t="s">
        <v>334</v>
      </c>
      <c r="E795" s="2" t="s">
        <v>38</v>
      </c>
      <c r="F795" s="2" t="s">
        <v>2137</v>
      </c>
      <c r="G795" s="2" t="s">
        <v>202</v>
      </c>
      <c r="H795" s="56" t="str">
        <f>Table1[[#This Row],[Tabela]]&amp;Table1[[#This Row],[Campo]]</f>
        <v>modesg_out_sfics_taxon_europeiamontante_pndrc</v>
      </c>
      <c r="I795" s="2" t="s">
        <v>614</v>
      </c>
      <c r="J795" s="42">
        <f>VLOOKUP(Table1[[#This Row],[Status]],Auxiliar!$B$16:$C$24,2,0)</f>
        <v>5</v>
      </c>
      <c r="K795" s="2" t="s">
        <v>1190</v>
      </c>
      <c r="L795" s="28" t="s">
        <v>1185</v>
      </c>
      <c r="M795" s="20" t="s">
        <v>1186</v>
      </c>
      <c r="N795" s="47">
        <v>45674</v>
      </c>
      <c r="O795" s="20">
        <f>INDEX(Auxiliar!$D$5:$F$13,MATCH(Table1[[#This Row],[Tipologia_Testes]],Auxiliar!$B$5:$B$13,0),MATCH(Table1[[#This Row],[Complexidade]],Auxiliar!$D$4:$F$4,0))</f>
        <v>0.1</v>
      </c>
      <c r="P795" s="22" t="s">
        <v>1227</v>
      </c>
      <c r="Q795" s="2"/>
      <c r="R795" s="151">
        <v>45563</v>
      </c>
      <c r="S795" s="151"/>
      <c r="T795" s="151">
        <v>45563</v>
      </c>
      <c r="U795" s="151">
        <v>45624</v>
      </c>
      <c r="V795" s="151">
        <v>45629</v>
      </c>
      <c r="W795" s="2">
        <f>VLOOKUP(Table1[[#This Row],[Status]],Auxiliar!$B$16:$D$24,3,0)*Table1[[#This Row],[Estimação (horas)]]</f>
        <v>2.5000000000000001E-2</v>
      </c>
      <c r="X795" s="2"/>
    </row>
    <row r="796" spans="2:24" ht="52.2" hidden="1" customHeight="1">
      <c r="B796" s="2" t="s">
        <v>26</v>
      </c>
      <c r="C796" s="2" t="s">
        <v>310</v>
      </c>
      <c r="D796" s="2" t="s">
        <v>334</v>
      </c>
      <c r="E796" s="2" t="s">
        <v>38</v>
      </c>
      <c r="F796" s="2" t="s">
        <v>2137</v>
      </c>
      <c r="G796" s="2" t="s">
        <v>2101</v>
      </c>
      <c r="H796" s="56" t="str">
        <f>Table1[[#This Row],[Tabela]]&amp;Table1[[#This Row],[Campo]]</f>
        <v>modesg_out_sfics_taxon_europeianome_ctgr_sfics</v>
      </c>
      <c r="I796" s="2" t="s">
        <v>614</v>
      </c>
      <c r="J796" s="42">
        <f>VLOOKUP(Table1[[#This Row],[Status]],Auxiliar!$B$16:$C$24,2,0)</f>
        <v>5</v>
      </c>
      <c r="K796" s="2" t="s">
        <v>1187</v>
      </c>
      <c r="L796" s="28" t="s">
        <v>1185</v>
      </c>
      <c r="M796" s="20" t="s">
        <v>1186</v>
      </c>
      <c r="N796" s="47">
        <v>45674</v>
      </c>
      <c r="O796" s="20">
        <f>INDEX(Auxiliar!$D$5:$F$13,MATCH(Table1[[#This Row],[Tipologia_Testes]],Auxiliar!$B$5:$B$13,0),MATCH(Table1[[#This Row],[Complexidade]],Auxiliar!$D$4:$F$4,0))</f>
        <v>8</v>
      </c>
      <c r="P796" s="22" t="s">
        <v>1228</v>
      </c>
      <c r="Q796" s="2"/>
      <c r="R796" s="151">
        <v>45562</v>
      </c>
      <c r="S796" s="151"/>
      <c r="T796" s="151">
        <v>45562</v>
      </c>
      <c r="U796" s="151">
        <v>45624</v>
      </c>
      <c r="V796" s="151">
        <v>45629</v>
      </c>
      <c r="W796" s="2">
        <f>VLOOKUP(Table1[[#This Row],[Status]],Auxiliar!$B$16:$D$24,3,0)*Table1[[#This Row],[Estimação (horas)]]</f>
        <v>2</v>
      </c>
      <c r="X796" s="2"/>
    </row>
    <row r="797" spans="2:24" ht="52.2" hidden="1" customHeight="1">
      <c r="B797" s="2" t="s">
        <v>26</v>
      </c>
      <c r="C797" s="2" t="s">
        <v>310</v>
      </c>
      <c r="D797" s="2" t="s">
        <v>334</v>
      </c>
      <c r="E797" s="2" t="s">
        <v>38</v>
      </c>
      <c r="F797" s="2" t="s">
        <v>2137</v>
      </c>
      <c r="G797" s="2" t="s">
        <v>2101</v>
      </c>
      <c r="H797" s="56" t="str">
        <f>Table1[[#This Row],[Tabela]]&amp;Table1[[#This Row],[Campo]]</f>
        <v>modesg_out_sfics_taxon_europeianome_ctgr_sfics</v>
      </c>
      <c r="I797" s="2" t="s">
        <v>614</v>
      </c>
      <c r="J797" s="42">
        <f>VLOOKUP(Table1[[#This Row],[Status]],Auxiliar!$B$16:$C$24,2,0)</f>
        <v>5</v>
      </c>
      <c r="K797" s="2" t="s">
        <v>1188</v>
      </c>
      <c r="L797" s="28" t="s">
        <v>1185</v>
      </c>
      <c r="M797" s="20" t="s">
        <v>1186</v>
      </c>
      <c r="N797" s="47">
        <v>45674</v>
      </c>
      <c r="O797" s="20">
        <f>INDEX(Auxiliar!$D$5:$F$13,MATCH(Table1[[#This Row],[Tipologia_Testes]],Auxiliar!$B$5:$B$13,0),MATCH(Table1[[#This Row],[Complexidade]],Auxiliar!$D$4:$F$4,0))</f>
        <v>8</v>
      </c>
      <c r="P797" s="22" t="s">
        <v>1228</v>
      </c>
      <c r="Q797" s="2"/>
      <c r="R797" s="151">
        <v>45562</v>
      </c>
      <c r="S797" s="151"/>
      <c r="T797" s="151">
        <v>45562</v>
      </c>
      <c r="U797" s="151">
        <v>45624</v>
      </c>
      <c r="V797" s="151">
        <v>45629</v>
      </c>
      <c r="W797" s="2">
        <f>VLOOKUP(Table1[[#This Row],[Status]],Auxiliar!$B$16:$D$24,3,0)*Table1[[#This Row],[Estimação (horas)]]</f>
        <v>2</v>
      </c>
      <c r="X797" s="2"/>
    </row>
    <row r="798" spans="2:24" ht="52.2" hidden="1" customHeight="1">
      <c r="B798" s="2" t="s">
        <v>26</v>
      </c>
      <c r="C798" s="2" t="s">
        <v>310</v>
      </c>
      <c r="D798" s="2" t="s">
        <v>334</v>
      </c>
      <c r="E798" s="2" t="s">
        <v>38</v>
      </c>
      <c r="F798" s="2" t="s">
        <v>2137</v>
      </c>
      <c r="G798" s="2" t="s">
        <v>2101</v>
      </c>
      <c r="H798" s="56" t="str">
        <f>Table1[[#This Row],[Tabela]]&amp;Table1[[#This Row],[Campo]]</f>
        <v>modesg_out_sfics_taxon_europeianome_ctgr_sfics</v>
      </c>
      <c r="I798" s="2" t="s">
        <v>614</v>
      </c>
      <c r="J798" s="42">
        <f>VLOOKUP(Table1[[#This Row],[Status]],Auxiliar!$B$16:$C$24,2,0)</f>
        <v>5</v>
      </c>
      <c r="K798" s="2" t="s">
        <v>1190</v>
      </c>
      <c r="L798" s="28" t="s">
        <v>1185</v>
      </c>
      <c r="M798" s="20" t="s">
        <v>1186</v>
      </c>
      <c r="N798" s="47">
        <v>45674</v>
      </c>
      <c r="O798" s="20">
        <f>INDEX(Auxiliar!$D$5:$F$13,MATCH(Table1[[#This Row],[Tipologia_Testes]],Auxiliar!$B$5:$B$13,0),MATCH(Table1[[#This Row],[Complexidade]],Auxiliar!$D$4:$F$4,0))</f>
        <v>0.1</v>
      </c>
      <c r="P798" s="22" t="s">
        <v>1228</v>
      </c>
      <c r="Q798" s="2"/>
      <c r="R798" s="151">
        <v>45562</v>
      </c>
      <c r="S798" s="151"/>
      <c r="T798" s="151">
        <v>45562</v>
      </c>
      <c r="U798" s="151">
        <v>45624</v>
      </c>
      <c r="V798" s="151">
        <v>45629</v>
      </c>
      <c r="W798" s="2">
        <f>VLOOKUP(Table1[[#This Row],[Status]],Auxiliar!$B$16:$D$24,3,0)*Table1[[#This Row],[Estimação (horas)]]</f>
        <v>2.5000000000000001E-2</v>
      </c>
      <c r="X798" s="2"/>
    </row>
    <row r="799" spans="2:24" ht="17.7" hidden="1" customHeight="1">
      <c r="B799" s="2" t="s">
        <v>26</v>
      </c>
      <c r="C799" s="2" t="s">
        <v>310</v>
      </c>
      <c r="D799" s="2" t="s">
        <v>334</v>
      </c>
      <c r="E799" s="2" t="s">
        <v>38</v>
      </c>
      <c r="F799" s="2" t="s">
        <v>2137</v>
      </c>
      <c r="G799" s="2" t="s">
        <v>204</v>
      </c>
      <c r="H799" s="56" t="str">
        <f>Table1[[#This Row],[Tabela]]&amp;Table1[[#This Row],[Campo]]</f>
        <v>modesg_out_sfics_taxon_europeianome_general_specific_purpose</v>
      </c>
      <c r="I799" s="2" t="s">
        <v>614</v>
      </c>
      <c r="J799" s="42">
        <f>VLOOKUP(Table1[[#This Row],[Status]],Auxiliar!$B$16:$C$24,2,0)</f>
        <v>5</v>
      </c>
      <c r="K799" s="2" t="s">
        <v>1187</v>
      </c>
      <c r="L799" s="28" t="s">
        <v>1185</v>
      </c>
      <c r="M799" s="20" t="s">
        <v>1195</v>
      </c>
      <c r="N799" s="47">
        <v>45674</v>
      </c>
      <c r="O799" s="20">
        <f>INDEX(Auxiliar!$D$5:$F$13,MATCH(Table1[[#This Row],[Tipologia_Testes]],Auxiliar!$B$5:$B$13,0),MATCH(Table1[[#This Row],[Complexidade]],Auxiliar!$D$4:$F$4,0))</f>
        <v>4</v>
      </c>
      <c r="P799" s="2" t="s">
        <v>1229</v>
      </c>
      <c r="Q799" s="2"/>
      <c r="R799" s="151">
        <v>45563</v>
      </c>
      <c r="S799" s="151"/>
      <c r="T799" s="151">
        <v>45563</v>
      </c>
      <c r="U799" s="151">
        <v>45624</v>
      </c>
      <c r="V799" s="151">
        <v>45629</v>
      </c>
      <c r="W799" s="2">
        <f>VLOOKUP(Table1[[#This Row],[Status]],Auxiliar!$B$16:$D$24,3,0)*Table1[[#This Row],[Estimação (horas)]]</f>
        <v>1</v>
      </c>
      <c r="X799" s="2"/>
    </row>
    <row r="800" spans="2:24" ht="17.7" hidden="1" customHeight="1">
      <c r="B800" s="2" t="s">
        <v>26</v>
      </c>
      <c r="C800" s="2" t="s">
        <v>310</v>
      </c>
      <c r="D800" s="2" t="s">
        <v>334</v>
      </c>
      <c r="E800" s="2" t="s">
        <v>38</v>
      </c>
      <c r="F800" s="2" t="s">
        <v>2137</v>
      </c>
      <c r="G800" s="2" t="s">
        <v>204</v>
      </c>
      <c r="H800" s="56" t="str">
        <f>Table1[[#This Row],[Tabela]]&amp;Table1[[#This Row],[Campo]]</f>
        <v>modesg_out_sfics_taxon_europeianome_general_specific_purpose</v>
      </c>
      <c r="I800" s="2" t="s">
        <v>614</v>
      </c>
      <c r="J800" s="42">
        <f>VLOOKUP(Table1[[#This Row],[Status]],Auxiliar!$B$16:$C$24,2,0)</f>
        <v>5</v>
      </c>
      <c r="K800" s="2" t="s">
        <v>1188</v>
      </c>
      <c r="L800" s="28" t="s">
        <v>1185</v>
      </c>
      <c r="M800" s="20" t="s">
        <v>1195</v>
      </c>
      <c r="N800" s="47">
        <v>45674</v>
      </c>
      <c r="O800" s="20">
        <f>INDEX(Auxiliar!$D$5:$F$13,MATCH(Table1[[#This Row],[Tipologia_Testes]],Auxiliar!$B$5:$B$13,0),MATCH(Table1[[#This Row],[Complexidade]],Auxiliar!$D$4:$F$4,0))</f>
        <v>4</v>
      </c>
      <c r="P800" s="2" t="s">
        <v>1229</v>
      </c>
      <c r="Q800" s="2"/>
      <c r="R800" s="151">
        <v>45563</v>
      </c>
      <c r="S800" s="151"/>
      <c r="T800" s="151">
        <v>45563</v>
      </c>
      <c r="U800" s="151">
        <v>45624</v>
      </c>
      <c r="V800" s="151">
        <v>45629</v>
      </c>
      <c r="W800" s="2">
        <f>VLOOKUP(Table1[[#This Row],[Status]],Auxiliar!$B$16:$D$24,3,0)*Table1[[#This Row],[Estimação (horas)]]</f>
        <v>1</v>
      </c>
      <c r="X800" s="2"/>
    </row>
    <row r="801" spans="2:24" ht="17.7" hidden="1" customHeight="1">
      <c r="B801" s="2" t="s">
        <v>26</v>
      </c>
      <c r="C801" s="2" t="s">
        <v>310</v>
      </c>
      <c r="D801" s="2" t="s">
        <v>334</v>
      </c>
      <c r="E801" s="2" t="s">
        <v>38</v>
      </c>
      <c r="F801" s="2" t="s">
        <v>2137</v>
      </c>
      <c r="G801" s="2" t="s">
        <v>204</v>
      </c>
      <c r="H801" s="56" t="str">
        <f>Table1[[#This Row],[Tabela]]&amp;Table1[[#This Row],[Campo]]</f>
        <v>modesg_out_sfics_taxon_europeianome_general_specific_purpose</v>
      </c>
      <c r="I801" s="2" t="s">
        <v>614</v>
      </c>
      <c r="J801" s="42">
        <f>VLOOKUP(Table1[[#This Row],[Status]],Auxiliar!$B$16:$C$24,2,0)</f>
        <v>5</v>
      </c>
      <c r="K801" s="2" t="s">
        <v>1190</v>
      </c>
      <c r="L801" s="28" t="s">
        <v>1185</v>
      </c>
      <c r="M801" s="20" t="s">
        <v>1195</v>
      </c>
      <c r="N801" s="47">
        <v>45674</v>
      </c>
      <c r="O801" s="20">
        <f>INDEX(Auxiliar!$D$5:$F$13,MATCH(Table1[[#This Row],[Tipologia_Testes]],Auxiliar!$B$5:$B$13,0),MATCH(Table1[[#This Row],[Complexidade]],Auxiliar!$D$4:$F$4,0))</f>
        <v>0.1</v>
      </c>
      <c r="P801" s="2" t="s">
        <v>1229</v>
      </c>
      <c r="Q801" s="2"/>
      <c r="R801" s="151">
        <v>45563</v>
      </c>
      <c r="S801" s="151"/>
      <c r="T801" s="151">
        <v>45563</v>
      </c>
      <c r="U801" s="151">
        <v>45624</v>
      </c>
      <c r="V801" s="151">
        <v>45629</v>
      </c>
      <c r="W801" s="2">
        <f>VLOOKUP(Table1[[#This Row],[Status]],Auxiliar!$B$16:$D$24,3,0)*Table1[[#This Row],[Estimação (horas)]]</f>
        <v>2.5000000000000001E-2</v>
      </c>
      <c r="X801" s="2"/>
    </row>
    <row r="802" spans="2:24" ht="17.7" hidden="1" customHeight="1">
      <c r="B802" s="2" t="s">
        <v>26</v>
      </c>
      <c r="C802" s="2" t="s">
        <v>310</v>
      </c>
      <c r="D802" s="2" t="s">
        <v>334</v>
      </c>
      <c r="E802" s="2" t="s">
        <v>38</v>
      </c>
      <c r="F802" s="2" t="s">
        <v>2137</v>
      </c>
      <c r="G802" s="2" t="s">
        <v>2115</v>
      </c>
      <c r="H802" s="56" t="str">
        <f>Table1[[#This Row],[Tabela]]&amp;Table1[[#This Row],[Campo]]</f>
        <v>modesg_out_sfics_taxon_europeianome_purpose_esg_alinh_tax</v>
      </c>
      <c r="I802" s="2" t="s">
        <v>614</v>
      </c>
      <c r="J802" s="42">
        <f>VLOOKUP(Table1[[#This Row],[Status]],Auxiliar!$B$16:$C$24,2,0)</f>
        <v>5</v>
      </c>
      <c r="K802" s="2" t="s">
        <v>1187</v>
      </c>
      <c r="L802" s="28" t="s">
        <v>1193</v>
      </c>
      <c r="M802" s="20" t="s">
        <v>1195</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7" hidden="1" customHeight="1">
      <c r="B803" s="2" t="s">
        <v>26</v>
      </c>
      <c r="C803" s="2" t="s">
        <v>310</v>
      </c>
      <c r="D803" s="2" t="s">
        <v>334</v>
      </c>
      <c r="E803" s="2" t="s">
        <v>38</v>
      </c>
      <c r="F803" s="2" t="s">
        <v>2137</v>
      </c>
      <c r="G803" s="2" t="s">
        <v>2115</v>
      </c>
      <c r="H803" s="56" t="str">
        <f>Table1[[#This Row],[Tabela]]&amp;Table1[[#This Row],[Campo]]</f>
        <v>modesg_out_sfics_taxon_europeianome_purpose_esg_alinh_tax</v>
      </c>
      <c r="I803" s="2" t="s">
        <v>614</v>
      </c>
      <c r="J803" s="42">
        <f>VLOOKUP(Table1[[#This Row],[Status]],Auxiliar!$B$16:$C$24,2,0)</f>
        <v>5</v>
      </c>
      <c r="K803" s="2" t="s">
        <v>1188</v>
      </c>
      <c r="L803" s="28" t="s">
        <v>1193</v>
      </c>
      <c r="M803" s="20" t="s">
        <v>1195</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7" hidden="1" customHeight="1">
      <c r="B804" s="2" t="s">
        <v>26</v>
      </c>
      <c r="C804" s="2" t="s">
        <v>310</v>
      </c>
      <c r="D804" s="2" t="s">
        <v>334</v>
      </c>
      <c r="E804" s="2" t="s">
        <v>38</v>
      </c>
      <c r="F804" s="2" t="s">
        <v>2137</v>
      </c>
      <c r="G804" s="2" t="s">
        <v>2115</v>
      </c>
      <c r="H804" s="56" t="str">
        <f>Table1[[#This Row],[Tabela]]&amp;Table1[[#This Row],[Campo]]</f>
        <v>modesg_out_sfics_taxon_europeianome_purpose_esg_alinh_tax</v>
      </c>
      <c r="I804" s="2" t="s">
        <v>614</v>
      </c>
      <c r="J804" s="42">
        <f>VLOOKUP(Table1[[#This Row],[Status]],Auxiliar!$B$16:$C$24,2,0)</f>
        <v>5</v>
      </c>
      <c r="K804" s="2" t="s">
        <v>1190</v>
      </c>
      <c r="L804" s="28" t="s">
        <v>1193</v>
      </c>
      <c r="M804" s="20" t="s">
        <v>1195</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7" hidden="1" customHeight="1">
      <c r="B805" s="2" t="s">
        <v>26</v>
      </c>
      <c r="C805" s="2" t="s">
        <v>310</v>
      </c>
      <c r="D805" s="2" t="s">
        <v>334</v>
      </c>
      <c r="E805" s="2" t="s">
        <v>38</v>
      </c>
      <c r="F805" s="2" t="s">
        <v>2137</v>
      </c>
      <c r="G805" s="2" t="s">
        <v>2116</v>
      </c>
      <c r="H805" s="56" t="str">
        <f>Table1[[#This Row],[Tabela]]&amp;Table1[[#This Row],[Campo]]</f>
        <v>modesg_out_sfics_taxon_europeianome_purpose_esg_nalinh_tax</v>
      </c>
      <c r="I805" s="2" t="s">
        <v>614</v>
      </c>
      <c r="J805" s="42">
        <f>VLOOKUP(Table1[[#This Row],[Status]],Auxiliar!$B$16:$C$24,2,0)</f>
        <v>5</v>
      </c>
      <c r="K805" s="2" t="s">
        <v>1187</v>
      </c>
      <c r="L805" s="28" t="s">
        <v>1193</v>
      </c>
      <c r="M805" s="20" t="s">
        <v>1195</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7" hidden="1" customHeight="1">
      <c r="B806" s="2" t="s">
        <v>26</v>
      </c>
      <c r="C806" s="2" t="s">
        <v>310</v>
      </c>
      <c r="D806" s="2" t="s">
        <v>334</v>
      </c>
      <c r="E806" s="2" t="s">
        <v>38</v>
      </c>
      <c r="F806" s="2" t="s">
        <v>2137</v>
      </c>
      <c r="G806" s="2" t="s">
        <v>2116</v>
      </c>
      <c r="H806" s="56" t="str">
        <f>Table1[[#This Row],[Tabela]]&amp;Table1[[#This Row],[Campo]]</f>
        <v>modesg_out_sfics_taxon_europeianome_purpose_esg_nalinh_tax</v>
      </c>
      <c r="I806" s="2" t="s">
        <v>614</v>
      </c>
      <c r="J806" s="42">
        <f>VLOOKUP(Table1[[#This Row],[Status]],Auxiliar!$B$16:$C$24,2,0)</f>
        <v>5</v>
      </c>
      <c r="K806" s="2" t="s">
        <v>1188</v>
      </c>
      <c r="L806" s="28" t="s">
        <v>1193</v>
      </c>
      <c r="M806" s="20" t="s">
        <v>1195</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7" hidden="1" customHeight="1">
      <c r="B807" s="2" t="s">
        <v>26</v>
      </c>
      <c r="C807" s="2" t="s">
        <v>310</v>
      </c>
      <c r="D807" s="2" t="s">
        <v>334</v>
      </c>
      <c r="E807" s="2" t="s">
        <v>38</v>
      </c>
      <c r="F807" s="2" t="s">
        <v>2137</v>
      </c>
      <c r="G807" s="2" t="s">
        <v>2116</v>
      </c>
      <c r="H807" s="56" t="str">
        <f>Table1[[#This Row],[Tabela]]&amp;Table1[[#This Row],[Campo]]</f>
        <v>modesg_out_sfics_taxon_europeianome_purpose_esg_nalinh_tax</v>
      </c>
      <c r="I807" s="2" t="s">
        <v>614</v>
      </c>
      <c r="J807" s="42">
        <f>VLOOKUP(Table1[[#This Row],[Status]],Auxiliar!$B$16:$C$24,2,0)</f>
        <v>5</v>
      </c>
      <c r="K807" s="2" t="s">
        <v>1190</v>
      </c>
      <c r="L807" s="28" t="s">
        <v>1193</v>
      </c>
      <c r="M807" s="20" t="s">
        <v>1195</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7" hidden="1" customHeight="1">
      <c r="B808" s="2" t="s">
        <v>26</v>
      </c>
      <c r="C808" s="2" t="s">
        <v>310</v>
      </c>
      <c r="D808" s="2" t="s">
        <v>334</v>
      </c>
      <c r="E808" s="2" t="s">
        <v>38</v>
      </c>
      <c r="F808" s="2" t="s">
        <v>2137</v>
      </c>
      <c r="G808" s="2" t="s">
        <v>206</v>
      </c>
      <c r="H808" s="56" t="str">
        <f>Table1[[#This Row],[Tabela]]&amp;Table1[[#This Row],[Campo]]</f>
        <v>modesg_out_sfics_taxon_europeianome_specific_eligible</v>
      </c>
      <c r="I808" s="2" t="s">
        <v>614</v>
      </c>
      <c r="J808" s="42">
        <f>VLOOKUP(Table1[[#This Row],[Status]],Auxiliar!$B$16:$C$24,2,0)</f>
        <v>5</v>
      </c>
      <c r="K808" s="2" t="s">
        <v>1187</v>
      </c>
      <c r="L808" s="28" t="s">
        <v>1185</v>
      </c>
      <c r="M808" s="20" t="s">
        <v>1195</v>
      </c>
      <c r="N808" s="47">
        <v>45674</v>
      </c>
      <c r="O808" s="20">
        <f>INDEX(Auxiliar!$D$5:$F$13,MATCH(Table1[[#This Row],[Tipologia_Testes]],Auxiliar!$B$5:$B$13,0),MATCH(Table1[[#This Row],[Complexidade]],Auxiliar!$D$4:$F$4,0))</f>
        <v>4</v>
      </c>
      <c r="P808" s="2" t="s">
        <v>1229</v>
      </c>
      <c r="Q808" s="2"/>
      <c r="R808" s="151">
        <v>45563</v>
      </c>
      <c r="S808" s="151"/>
      <c r="T808" s="151">
        <v>45563</v>
      </c>
      <c r="U808" s="151">
        <v>45624</v>
      </c>
      <c r="V808" s="151">
        <v>45629</v>
      </c>
      <c r="W808" s="2">
        <f>VLOOKUP(Table1[[#This Row],[Status]],Auxiliar!$B$16:$D$24,3,0)*Table1[[#This Row],[Estimação (horas)]]</f>
        <v>1</v>
      </c>
      <c r="X808" s="2"/>
    </row>
    <row r="809" spans="2:24" ht="17.7" hidden="1" customHeight="1">
      <c r="B809" s="2" t="s">
        <v>26</v>
      </c>
      <c r="C809" s="2" t="s">
        <v>310</v>
      </c>
      <c r="D809" s="2" t="s">
        <v>334</v>
      </c>
      <c r="E809" s="2" t="s">
        <v>38</v>
      </c>
      <c r="F809" s="2" t="s">
        <v>2137</v>
      </c>
      <c r="G809" s="2" t="s">
        <v>206</v>
      </c>
      <c r="H809" s="56" t="str">
        <f>Table1[[#This Row],[Tabela]]&amp;Table1[[#This Row],[Campo]]</f>
        <v>modesg_out_sfics_taxon_europeianome_specific_eligible</v>
      </c>
      <c r="I809" s="2" t="s">
        <v>614</v>
      </c>
      <c r="J809" s="42">
        <f>VLOOKUP(Table1[[#This Row],[Status]],Auxiliar!$B$16:$C$24,2,0)</f>
        <v>5</v>
      </c>
      <c r="K809" s="2" t="s">
        <v>1188</v>
      </c>
      <c r="L809" s="28" t="s">
        <v>1185</v>
      </c>
      <c r="M809" s="20" t="s">
        <v>1195</v>
      </c>
      <c r="N809" s="47">
        <v>45674</v>
      </c>
      <c r="O809" s="20">
        <f>INDEX(Auxiliar!$D$5:$F$13,MATCH(Table1[[#This Row],[Tipologia_Testes]],Auxiliar!$B$5:$B$13,0),MATCH(Table1[[#This Row],[Complexidade]],Auxiliar!$D$4:$F$4,0))</f>
        <v>4</v>
      </c>
      <c r="P809" s="2" t="s">
        <v>1229</v>
      </c>
      <c r="Q809" s="2"/>
      <c r="R809" s="151">
        <v>45563</v>
      </c>
      <c r="S809" s="151"/>
      <c r="T809" s="151">
        <v>45563</v>
      </c>
      <c r="U809" s="151">
        <v>45624</v>
      </c>
      <c r="V809" s="151">
        <v>45629</v>
      </c>
      <c r="W809" s="2">
        <f>VLOOKUP(Table1[[#This Row],[Status]],Auxiliar!$B$16:$D$24,3,0)*Table1[[#This Row],[Estimação (horas)]]</f>
        <v>1</v>
      </c>
      <c r="X809" s="2"/>
    </row>
    <row r="810" spans="2:24" ht="17.7" hidden="1" customHeight="1">
      <c r="B810" s="2" t="s">
        <v>26</v>
      </c>
      <c r="C810" s="2" t="s">
        <v>310</v>
      </c>
      <c r="D810" s="2" t="s">
        <v>334</v>
      </c>
      <c r="E810" s="2" t="s">
        <v>38</v>
      </c>
      <c r="F810" s="2" t="s">
        <v>2137</v>
      </c>
      <c r="G810" s="2" t="s">
        <v>206</v>
      </c>
      <c r="H810" s="56" t="str">
        <f>Table1[[#This Row],[Tabela]]&amp;Table1[[#This Row],[Campo]]</f>
        <v>modesg_out_sfics_taxon_europeianome_specific_eligible</v>
      </c>
      <c r="I810" s="2" t="s">
        <v>614</v>
      </c>
      <c r="J810" s="42">
        <f>VLOOKUP(Table1[[#This Row],[Status]],Auxiliar!$B$16:$C$24,2,0)</f>
        <v>5</v>
      </c>
      <c r="K810" s="2" t="s">
        <v>1190</v>
      </c>
      <c r="L810" s="28" t="s">
        <v>1185</v>
      </c>
      <c r="M810" s="20" t="s">
        <v>1195</v>
      </c>
      <c r="N810" s="47">
        <v>45674</v>
      </c>
      <c r="O810" s="20">
        <f>INDEX(Auxiliar!$D$5:$F$13,MATCH(Table1[[#This Row],[Tipologia_Testes]],Auxiliar!$B$5:$B$13,0),MATCH(Table1[[#This Row],[Complexidade]],Auxiliar!$D$4:$F$4,0))</f>
        <v>0.1</v>
      </c>
      <c r="P810" s="2" t="s">
        <v>1229</v>
      </c>
      <c r="Q810" s="2"/>
      <c r="R810" s="151">
        <v>45563</v>
      </c>
      <c r="S810" s="151"/>
      <c r="T810" s="151">
        <v>45563</v>
      </c>
      <c r="U810" s="151">
        <v>45624</v>
      </c>
      <c r="V810" s="151">
        <v>45629</v>
      </c>
      <c r="W810" s="2">
        <f>VLOOKUP(Table1[[#This Row],[Status]],Auxiliar!$B$16:$D$24,3,0)*Table1[[#This Row],[Estimação (horas)]]</f>
        <v>2.5000000000000001E-2</v>
      </c>
      <c r="X810" s="2"/>
    </row>
    <row r="811" spans="2:24" ht="17.7" hidden="1" customHeight="1">
      <c r="B811" s="2" t="s">
        <v>26</v>
      </c>
      <c r="C811" s="2" t="s">
        <v>310</v>
      </c>
      <c r="D811" s="2" t="s">
        <v>334</v>
      </c>
      <c r="E811" s="2" t="s">
        <v>38</v>
      </c>
      <c r="F811" s="2" t="s">
        <v>2137</v>
      </c>
      <c r="G811" s="2" t="s">
        <v>207</v>
      </c>
      <c r="H811" s="56" t="str">
        <f>Table1[[#This Row],[Tabela]]&amp;Table1[[#This Row],[Campo]]</f>
        <v>modesg_out_sfics_taxon_europeianome_specific_sustainable</v>
      </c>
      <c r="I811" s="2" t="s">
        <v>614</v>
      </c>
      <c r="J811" s="42">
        <f>VLOOKUP(Table1[[#This Row],[Status]],Auxiliar!$B$16:$C$24,2,0)</f>
        <v>5</v>
      </c>
      <c r="K811" s="2" t="s">
        <v>1187</v>
      </c>
      <c r="L811" s="28" t="s">
        <v>1185</v>
      </c>
      <c r="M811" s="20" t="s">
        <v>1195</v>
      </c>
      <c r="N811" s="47">
        <v>45674</v>
      </c>
      <c r="O811" s="20">
        <f>INDEX(Auxiliar!$D$5:$F$13,MATCH(Table1[[#This Row],[Tipologia_Testes]],Auxiliar!$B$5:$B$13,0),MATCH(Table1[[#This Row],[Complexidade]],Auxiliar!$D$4:$F$4,0))</f>
        <v>4</v>
      </c>
      <c r="P811" s="2" t="s">
        <v>1229</v>
      </c>
      <c r="Q811" s="2"/>
      <c r="R811" s="151">
        <v>45563</v>
      </c>
      <c r="S811" s="151"/>
      <c r="T811" s="151">
        <v>45563</v>
      </c>
      <c r="U811" s="151">
        <v>45624</v>
      </c>
      <c r="V811" s="151">
        <v>45629</v>
      </c>
      <c r="W811" s="2">
        <f>VLOOKUP(Table1[[#This Row],[Status]],Auxiliar!$B$16:$D$24,3,0)*Table1[[#This Row],[Estimação (horas)]]</f>
        <v>1</v>
      </c>
      <c r="X811" s="2"/>
    </row>
    <row r="812" spans="2:24" ht="17.7" hidden="1" customHeight="1">
      <c r="B812" s="2" t="s">
        <v>26</v>
      </c>
      <c r="C812" s="2" t="s">
        <v>310</v>
      </c>
      <c r="D812" s="2" t="s">
        <v>334</v>
      </c>
      <c r="E812" s="2" t="s">
        <v>38</v>
      </c>
      <c r="F812" s="2" t="s">
        <v>2137</v>
      </c>
      <c r="G812" s="2" t="s">
        <v>207</v>
      </c>
      <c r="H812" s="56" t="str">
        <f>Table1[[#This Row],[Tabela]]&amp;Table1[[#This Row],[Campo]]</f>
        <v>modesg_out_sfics_taxon_europeianome_specific_sustainable</v>
      </c>
      <c r="I812" s="2" t="s">
        <v>614</v>
      </c>
      <c r="J812" s="42">
        <f>VLOOKUP(Table1[[#This Row],[Status]],Auxiliar!$B$16:$C$24,2,0)</f>
        <v>5</v>
      </c>
      <c r="K812" s="2" t="s">
        <v>1188</v>
      </c>
      <c r="L812" s="28" t="s">
        <v>1185</v>
      </c>
      <c r="M812" s="20" t="s">
        <v>1195</v>
      </c>
      <c r="N812" s="47">
        <v>45674</v>
      </c>
      <c r="O812" s="20">
        <f>INDEX(Auxiliar!$D$5:$F$13,MATCH(Table1[[#This Row],[Tipologia_Testes]],Auxiliar!$B$5:$B$13,0),MATCH(Table1[[#This Row],[Complexidade]],Auxiliar!$D$4:$F$4,0))</f>
        <v>4</v>
      </c>
      <c r="P812" s="2" t="s">
        <v>1229</v>
      </c>
      <c r="Q812" s="2"/>
      <c r="R812" s="151">
        <v>45563</v>
      </c>
      <c r="S812" s="151"/>
      <c r="T812" s="151">
        <v>45563</v>
      </c>
      <c r="U812" s="151">
        <v>45624</v>
      </c>
      <c r="V812" s="151">
        <v>45629</v>
      </c>
      <c r="W812" s="2">
        <f>VLOOKUP(Table1[[#This Row],[Status]],Auxiliar!$B$16:$D$24,3,0)*Table1[[#This Row],[Estimação (horas)]]</f>
        <v>1</v>
      </c>
      <c r="X812" s="2"/>
    </row>
    <row r="813" spans="2:24" ht="17.7" hidden="1" customHeight="1">
      <c r="B813" s="2" t="s">
        <v>26</v>
      </c>
      <c r="C813" s="2" t="s">
        <v>310</v>
      </c>
      <c r="D813" s="2" t="s">
        <v>334</v>
      </c>
      <c r="E813" s="2" t="s">
        <v>38</v>
      </c>
      <c r="F813" s="2" t="s">
        <v>2137</v>
      </c>
      <c r="G813" s="2" t="s">
        <v>207</v>
      </c>
      <c r="H813" s="56" t="str">
        <f>Table1[[#This Row],[Tabela]]&amp;Table1[[#This Row],[Campo]]</f>
        <v>modesg_out_sfics_taxon_europeianome_specific_sustainable</v>
      </c>
      <c r="I813" s="2" t="s">
        <v>614</v>
      </c>
      <c r="J813" s="42">
        <f>VLOOKUP(Table1[[#This Row],[Status]],Auxiliar!$B$16:$C$24,2,0)</f>
        <v>5</v>
      </c>
      <c r="K813" s="2" t="s">
        <v>1190</v>
      </c>
      <c r="L813" s="28" t="s">
        <v>1185</v>
      </c>
      <c r="M813" s="20" t="s">
        <v>1195</v>
      </c>
      <c r="N813" s="47">
        <v>45674</v>
      </c>
      <c r="O813" s="20">
        <f>INDEX(Auxiliar!$D$5:$F$13,MATCH(Table1[[#This Row],[Tipologia_Testes]],Auxiliar!$B$5:$B$13,0),MATCH(Table1[[#This Row],[Complexidade]],Auxiliar!$D$4:$F$4,0))</f>
        <v>0.1</v>
      </c>
      <c r="P813" s="2" t="s">
        <v>1229</v>
      </c>
      <c r="Q813" s="2"/>
      <c r="R813" s="151">
        <v>45563</v>
      </c>
      <c r="S813" s="151"/>
      <c r="T813" s="151">
        <v>45563</v>
      </c>
      <c r="U813" s="151">
        <v>45624</v>
      </c>
      <c r="V813" s="151">
        <v>45629</v>
      </c>
      <c r="W813" s="2">
        <f>VLOOKUP(Table1[[#This Row],[Status]],Auxiliar!$B$16:$D$24,3,0)*Table1[[#This Row],[Estimação (horas)]]</f>
        <v>2.5000000000000001E-2</v>
      </c>
      <c r="X813" s="2"/>
    </row>
    <row r="814" spans="2:24" ht="17.7" hidden="1" customHeight="1">
      <c r="B814" s="2" t="s">
        <v>26</v>
      </c>
      <c r="C814" s="2" t="s">
        <v>310</v>
      </c>
      <c r="D814" s="2" t="s">
        <v>334</v>
      </c>
      <c r="E814" s="2" t="s">
        <v>38</v>
      </c>
      <c r="F814" s="2" t="s">
        <v>2137</v>
      </c>
      <c r="G814" s="2" t="s">
        <v>72</v>
      </c>
      <c r="H814" s="56" t="str">
        <f>Table1[[#This Row],[Tabela]]&amp;Table1[[#This Row],[Campo]]</f>
        <v>modesg_out_sfics_taxon_europeiaorigem</v>
      </c>
      <c r="I814" s="3" t="s">
        <v>612</v>
      </c>
      <c r="J814" s="54">
        <f>VLOOKUP(Table1[[#This Row],[Status]],Auxiliar!$B$16:$C$24,2,0)</f>
        <v>1</v>
      </c>
      <c r="K814" s="2" t="s">
        <v>1187</v>
      </c>
      <c r="L814" s="28" t="s">
        <v>1193</v>
      </c>
      <c r="M814" s="20" t="s">
        <v>1194</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7" hidden="1" customHeight="1">
      <c r="B815" s="2" t="s">
        <v>26</v>
      </c>
      <c r="C815" s="2" t="s">
        <v>310</v>
      </c>
      <c r="D815" s="2" t="s">
        <v>334</v>
      </c>
      <c r="E815" s="2" t="s">
        <v>38</v>
      </c>
      <c r="F815" s="2" t="s">
        <v>2137</v>
      </c>
      <c r="G815" s="2" t="s">
        <v>72</v>
      </c>
      <c r="H815" s="56" t="str">
        <f>Table1[[#This Row],[Tabela]]&amp;Table1[[#This Row],[Campo]]</f>
        <v>modesg_out_sfics_taxon_europeiaorigem</v>
      </c>
      <c r="I815" s="3" t="s">
        <v>612</v>
      </c>
      <c r="J815" s="54">
        <f>VLOOKUP(Table1[[#This Row],[Status]],Auxiliar!$B$16:$C$24,2,0)</f>
        <v>1</v>
      </c>
      <c r="K815" s="2" t="s">
        <v>1188</v>
      </c>
      <c r="L815" s="28" t="s">
        <v>1193</v>
      </c>
      <c r="M815" s="20" t="s">
        <v>1194</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7" hidden="1" customHeight="1">
      <c r="B816" s="2" t="s">
        <v>26</v>
      </c>
      <c r="C816" s="2" t="s">
        <v>310</v>
      </c>
      <c r="D816" s="2" t="s">
        <v>334</v>
      </c>
      <c r="E816" s="2" t="s">
        <v>38</v>
      </c>
      <c r="F816" s="2" t="s">
        <v>2137</v>
      </c>
      <c r="G816" s="2" t="s">
        <v>72</v>
      </c>
      <c r="H816" s="56" t="str">
        <f>Table1[[#This Row],[Tabela]]&amp;Table1[[#This Row],[Campo]]</f>
        <v>modesg_out_sfics_taxon_europeiaorigem</v>
      </c>
      <c r="I816" s="3" t="s">
        <v>612</v>
      </c>
      <c r="J816" s="54">
        <f>VLOOKUP(Table1[[#This Row],[Status]],Auxiliar!$B$16:$C$24,2,0)</f>
        <v>1</v>
      </c>
      <c r="K816" s="2" t="s">
        <v>1190</v>
      </c>
      <c r="L816" s="28" t="s">
        <v>1193</v>
      </c>
      <c r="M816" s="20" t="s">
        <v>1194</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7" hidden="1" customHeight="1">
      <c r="B817" s="2" t="s">
        <v>26</v>
      </c>
      <c r="C817" s="2" t="s">
        <v>310</v>
      </c>
      <c r="D817" s="2" t="s">
        <v>334</v>
      </c>
      <c r="E817" s="2" t="s">
        <v>38</v>
      </c>
      <c r="F817" s="2" t="s">
        <v>2137</v>
      </c>
      <c r="G817" s="2" t="s">
        <v>208</v>
      </c>
      <c r="H817" s="56" t="str">
        <f>Table1[[#This Row],[Tabela]]&amp;Table1[[#This Row],[Campo]]</f>
        <v>modesg_out_sfics_taxon_europeiaref_date</v>
      </c>
      <c r="I817" s="2" t="s">
        <v>614</v>
      </c>
      <c r="J817" s="42">
        <f>VLOOKUP(Table1[[#This Row],[Status]],Auxiliar!$B$16:$C$24,2,0)</f>
        <v>5</v>
      </c>
      <c r="K817" s="2" t="s">
        <v>1187</v>
      </c>
      <c r="L817" s="28" t="s">
        <v>1193</v>
      </c>
      <c r="M817" s="20" t="s">
        <v>1194</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7" hidden="1" customHeight="1">
      <c r="B818" s="2" t="s">
        <v>26</v>
      </c>
      <c r="C818" s="2" t="s">
        <v>310</v>
      </c>
      <c r="D818" s="2" t="s">
        <v>334</v>
      </c>
      <c r="E818" s="2" t="s">
        <v>38</v>
      </c>
      <c r="F818" s="2" t="s">
        <v>2137</v>
      </c>
      <c r="G818" s="2" t="s">
        <v>208</v>
      </c>
      <c r="H818" s="56" t="str">
        <f>Table1[[#This Row],[Tabela]]&amp;Table1[[#This Row],[Campo]]</f>
        <v>modesg_out_sfics_taxon_europeiaref_date</v>
      </c>
      <c r="I818" s="2" t="s">
        <v>614</v>
      </c>
      <c r="J818" s="42">
        <f>VLOOKUP(Table1[[#This Row],[Status]],Auxiliar!$B$16:$C$24,2,0)</f>
        <v>5</v>
      </c>
      <c r="K818" s="2" t="s">
        <v>1188</v>
      </c>
      <c r="L818" s="28" t="s">
        <v>1193</v>
      </c>
      <c r="M818" s="20" t="s">
        <v>1194</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7" hidden="1" customHeight="1">
      <c r="B819" s="2" t="s">
        <v>26</v>
      </c>
      <c r="C819" s="2" t="s">
        <v>310</v>
      </c>
      <c r="D819" s="2" t="s">
        <v>334</v>
      </c>
      <c r="E819" s="2" t="s">
        <v>38</v>
      </c>
      <c r="F819" s="2" t="s">
        <v>2137</v>
      </c>
      <c r="G819" s="2" t="s">
        <v>208</v>
      </c>
      <c r="H819" s="56" t="str">
        <f>Table1[[#This Row],[Tabela]]&amp;Table1[[#This Row],[Campo]]</f>
        <v>modesg_out_sfics_taxon_europeiaref_date</v>
      </c>
      <c r="I819" s="2" t="s">
        <v>614</v>
      </c>
      <c r="J819" s="42">
        <f>VLOOKUP(Table1[[#This Row],[Status]],Auxiliar!$B$16:$C$24,2,0)</f>
        <v>5</v>
      </c>
      <c r="K819" s="2" t="s">
        <v>1190</v>
      </c>
      <c r="L819" s="28" t="s">
        <v>1193</v>
      </c>
      <c r="M819" s="20" t="s">
        <v>1194</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7" hidden="1" customHeight="1">
      <c r="B820" s="2" t="s">
        <v>26</v>
      </c>
      <c r="C820" s="2" t="s">
        <v>310</v>
      </c>
      <c r="D820" s="2" t="s">
        <v>334</v>
      </c>
      <c r="E820" s="2" t="s">
        <v>38</v>
      </c>
      <c r="F820" s="2" t="s">
        <v>2137</v>
      </c>
      <c r="G820" s="2" t="s">
        <v>210</v>
      </c>
      <c r="H820" s="56" t="str">
        <f>Table1[[#This Row],[Tabela]]&amp;Table1[[#This Row],[Campo]]</f>
        <v>modesg_out_sfics_taxon_europeiazdeposit</v>
      </c>
      <c r="I820" s="2" t="s">
        <v>614</v>
      </c>
      <c r="J820" s="42">
        <f>VLOOKUP(Table1[[#This Row],[Status]],Auxiliar!$B$16:$C$24,2,0)</f>
        <v>5</v>
      </c>
      <c r="K820" s="2" t="s">
        <v>1187</v>
      </c>
      <c r="L820" s="28" t="s">
        <v>1193</v>
      </c>
      <c r="M820" s="20" t="s">
        <v>1195</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7" hidden="1" customHeight="1">
      <c r="B821" s="2" t="s">
        <v>26</v>
      </c>
      <c r="C821" s="2" t="s">
        <v>310</v>
      </c>
      <c r="D821" s="2" t="s">
        <v>334</v>
      </c>
      <c r="E821" s="2" t="s">
        <v>38</v>
      </c>
      <c r="F821" s="2" t="s">
        <v>2137</v>
      </c>
      <c r="G821" s="2" t="s">
        <v>210</v>
      </c>
      <c r="H821" s="56" t="str">
        <f>Table1[[#This Row],[Tabela]]&amp;Table1[[#This Row],[Campo]]</f>
        <v>modesg_out_sfics_taxon_europeiazdeposit</v>
      </c>
      <c r="I821" s="2" t="s">
        <v>614</v>
      </c>
      <c r="J821" s="42">
        <f>VLOOKUP(Table1[[#This Row],[Status]],Auxiliar!$B$16:$C$24,2,0)</f>
        <v>5</v>
      </c>
      <c r="K821" s="2" t="s">
        <v>1188</v>
      </c>
      <c r="L821" s="28" t="s">
        <v>1193</v>
      </c>
      <c r="M821" s="20" t="s">
        <v>1195</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7" hidden="1" customHeight="1">
      <c r="B822" s="2" t="s">
        <v>26</v>
      </c>
      <c r="C822" s="2" t="s">
        <v>310</v>
      </c>
      <c r="D822" s="2" t="s">
        <v>334</v>
      </c>
      <c r="E822" s="2" t="s">
        <v>38</v>
      </c>
      <c r="F822" s="2" t="s">
        <v>2137</v>
      </c>
      <c r="G822" s="2" t="s">
        <v>210</v>
      </c>
      <c r="H822" s="56" t="str">
        <f>Table1[[#This Row],[Tabela]]&amp;Table1[[#This Row],[Campo]]</f>
        <v>modesg_out_sfics_taxon_europeiazdeposit</v>
      </c>
      <c r="I822" s="2" t="s">
        <v>614</v>
      </c>
      <c r="J822" s="42">
        <f>VLOOKUP(Table1[[#This Row],[Status]],Auxiliar!$B$16:$C$24,2,0)</f>
        <v>5</v>
      </c>
      <c r="K822" s="2" t="s">
        <v>1190</v>
      </c>
      <c r="L822" s="28" t="s">
        <v>1193</v>
      </c>
      <c r="M822" s="20" t="s">
        <v>1195</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7" hidden="1" customHeight="1">
      <c r="B823" s="2" t="s">
        <v>26</v>
      </c>
      <c r="C823" s="2" t="s">
        <v>181</v>
      </c>
      <c r="D823" s="2" t="s">
        <v>1230</v>
      </c>
      <c r="E823" s="2" t="s">
        <v>38</v>
      </c>
      <c r="F823" s="2" t="s">
        <v>2154</v>
      </c>
      <c r="G823" s="2" t="s">
        <v>38</v>
      </c>
      <c r="H823" s="56" t="str">
        <f>Table1[[#This Row],[Tabela]]&amp;Table1[[#This Row],[Campo]]</f>
        <v>modesg_param_sfics_taxon_europeian.a.</v>
      </c>
      <c r="I823" s="2" t="s">
        <v>614</v>
      </c>
      <c r="J823" s="42">
        <f>VLOOKUP(Table1[[#This Row],[Status]],Auxiliar!$B$16:$C$24,2,0)</f>
        <v>5</v>
      </c>
      <c r="K823" s="2" t="s">
        <v>1184</v>
      </c>
      <c r="L823" s="28" t="s">
        <v>1193</v>
      </c>
      <c r="M823" s="20" t="s">
        <v>1186</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1230</v>
      </c>
      <c r="E824" s="2" t="s">
        <v>38</v>
      </c>
      <c r="F824" s="2" t="s">
        <v>2154</v>
      </c>
      <c r="G824" s="2" t="s">
        <v>38</v>
      </c>
      <c r="H824" s="56" t="str">
        <f>Table1[[#This Row],[Tabela]]&amp;Table1[[#This Row],[Campo]]</f>
        <v>modesg_param_sfics_taxon_europeian.a.</v>
      </c>
      <c r="I824" s="2" t="s">
        <v>614</v>
      </c>
      <c r="J824" s="42">
        <f>VLOOKUP(Table1[[#This Row],[Status]],Auxiliar!$B$16:$C$24,2,0)</f>
        <v>5</v>
      </c>
      <c r="K824" s="2" t="s">
        <v>1231</v>
      </c>
      <c r="L824" s="28" t="s">
        <v>1193</v>
      </c>
      <c r="M824" s="20" t="s">
        <v>1194</v>
      </c>
      <c r="N824" s="47">
        <v>45688</v>
      </c>
      <c r="O824" s="20">
        <f>INDEX(Auxiliar!$D$5:$F$13,MATCH(Table1[[#This Row],[Tipologia_Testes]],Auxiliar!$B$5:$B$13,0),MATCH(Table1[[#This Row],[Complexidade]],Auxiliar!$D$4:$F$4,0))</f>
        <v>0.5</v>
      </c>
      <c r="P824" s="22" t="s">
        <v>1232</v>
      </c>
      <c r="Q824" s="2"/>
      <c r="R824" s="151">
        <v>45563</v>
      </c>
      <c r="S824" s="151"/>
      <c r="T824" s="151">
        <v>45563</v>
      </c>
      <c r="U824" s="151">
        <v>45603</v>
      </c>
      <c r="V824" s="151">
        <v>45604</v>
      </c>
      <c r="W824" s="2">
        <f>VLOOKUP(Table1[[#This Row],[Status]],Auxiliar!$B$16:$D$24,3,0)*Table1[[#This Row],[Estimação (horas)]]</f>
        <v>0.125</v>
      </c>
      <c r="X824" s="2"/>
    </row>
    <row r="825" spans="2:24" ht="17.7" hidden="1" customHeight="1">
      <c r="B825" s="2" t="s">
        <v>26</v>
      </c>
      <c r="C825" s="2" t="s">
        <v>181</v>
      </c>
      <c r="D825" s="2" t="s">
        <v>1230</v>
      </c>
      <c r="E825" s="2" t="s">
        <v>38</v>
      </c>
      <c r="F825" s="2" t="s">
        <v>2154</v>
      </c>
      <c r="G825" s="2" t="s">
        <v>208</v>
      </c>
      <c r="H825" s="56" t="str">
        <f>Table1[[#This Row],[Tabela]]&amp;Table1[[#This Row],[Campo]]</f>
        <v>modesg_param_sfics_taxon_europeiaref_date</v>
      </c>
      <c r="I825" s="2" t="s">
        <v>614</v>
      </c>
      <c r="J825" s="54">
        <f>VLOOKUP(Table1[[#This Row],[Status]],Auxiliar!$B$16:$C$24,2,0)</f>
        <v>5</v>
      </c>
      <c r="K825" s="2" t="s">
        <v>1198</v>
      </c>
      <c r="L825" s="28" t="s">
        <v>1193</v>
      </c>
      <c r="M825" s="20" t="s">
        <v>1194</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7" hidden="1" customHeight="1">
      <c r="B826" s="2" t="s">
        <v>26</v>
      </c>
      <c r="C826" s="2" t="s">
        <v>181</v>
      </c>
      <c r="D826" s="2" t="s">
        <v>1230</v>
      </c>
      <c r="E826" s="2" t="s">
        <v>38</v>
      </c>
      <c r="F826" s="2" t="s">
        <v>2154</v>
      </c>
      <c r="G826" s="2" t="s">
        <v>191</v>
      </c>
      <c r="H826" s="56" t="str">
        <f>Table1[[#This Row],[Tabela]]&amp;Table1[[#This Row],[Campo]]</f>
        <v>modesg_param_sfics_taxon_europeiacod_regra</v>
      </c>
      <c r="I826" s="2" t="s">
        <v>614</v>
      </c>
      <c r="J826" s="54">
        <f>VLOOKUP(Table1[[#This Row],[Status]],Auxiliar!$B$16:$C$24,2,0)</f>
        <v>5</v>
      </c>
      <c r="K826" s="2" t="s">
        <v>1198</v>
      </c>
      <c r="L826" s="28" t="s">
        <v>1193</v>
      </c>
      <c r="M826" s="20" t="s">
        <v>1194</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7" hidden="1" customHeight="1">
      <c r="B827" s="2" t="s">
        <v>26</v>
      </c>
      <c r="C827" s="2" t="s">
        <v>181</v>
      </c>
      <c r="D827" s="2" t="s">
        <v>1230</v>
      </c>
      <c r="E827" s="2" t="s">
        <v>38</v>
      </c>
      <c r="F827" s="2" t="s">
        <v>2154</v>
      </c>
      <c r="G827" s="2" t="s">
        <v>197</v>
      </c>
      <c r="H827" s="56" t="str">
        <f>Table1[[#This Row],[Tabela]]&amp;Table1[[#This Row],[Campo]]</f>
        <v>modesg_param_sfics_taxon_europeiadscrc</v>
      </c>
      <c r="I827" s="2" t="s">
        <v>614</v>
      </c>
      <c r="J827" s="54">
        <f>VLOOKUP(Table1[[#This Row],[Status]],Auxiliar!$B$16:$C$24,2,0)</f>
        <v>5</v>
      </c>
      <c r="K827" s="2" t="s">
        <v>1198</v>
      </c>
      <c r="L827" s="28" t="s">
        <v>1193</v>
      </c>
      <c r="M827" s="20" t="s">
        <v>1194</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7" hidden="1" customHeight="1">
      <c r="B828" s="2" t="s">
        <v>26</v>
      </c>
      <c r="C828" s="2" t="s">
        <v>181</v>
      </c>
      <c r="D828" s="2" t="s">
        <v>1230</v>
      </c>
      <c r="E828" s="2" t="s">
        <v>38</v>
      </c>
      <c r="F828" s="2" t="s">
        <v>2154</v>
      </c>
      <c r="G828" s="2" t="s">
        <v>192</v>
      </c>
      <c r="H828" s="56" t="str">
        <f>Table1[[#This Row],[Tabela]]&amp;Table1[[#This Row],[Campo]]</f>
        <v>modesg_param_sfics_taxon_europeiacomite</v>
      </c>
      <c r="I828" s="2" t="s">
        <v>614</v>
      </c>
      <c r="J828" s="54">
        <f>VLOOKUP(Table1[[#This Row],[Status]],Auxiliar!$B$16:$C$24,2,0)</f>
        <v>5</v>
      </c>
      <c r="K828" s="2" t="s">
        <v>1198</v>
      </c>
      <c r="L828" s="28" t="s">
        <v>1193</v>
      </c>
      <c r="M828" s="20" t="s">
        <v>1194</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7" hidden="1" customHeight="1">
      <c r="B829" s="2" t="s">
        <v>26</v>
      </c>
      <c r="C829" s="2" t="s">
        <v>181</v>
      </c>
      <c r="D829" s="2" t="s">
        <v>1230</v>
      </c>
      <c r="E829" s="2" t="s">
        <v>38</v>
      </c>
      <c r="F829" s="2" t="s">
        <v>2154</v>
      </c>
      <c r="G829" s="2" t="s">
        <v>193</v>
      </c>
      <c r="H829" s="56" t="str">
        <f>Table1[[#This Row],[Tabela]]&amp;Table1[[#This Row],[Campo]]</f>
        <v>modesg_param_sfics_taxon_europeiadata_aprvc</v>
      </c>
      <c r="I829" s="2" t="s">
        <v>614</v>
      </c>
      <c r="J829" s="54">
        <f>VLOOKUP(Table1[[#This Row],[Status]],Auxiliar!$B$16:$C$24,2,0)</f>
        <v>5</v>
      </c>
      <c r="K829" s="2" t="s">
        <v>1198</v>
      </c>
      <c r="L829" s="28" t="s">
        <v>1193</v>
      </c>
      <c r="M829" s="20" t="s">
        <v>1194</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7" hidden="1" customHeight="1">
      <c r="B830" s="2" t="s">
        <v>26</v>
      </c>
      <c r="C830" s="2" t="s">
        <v>181</v>
      </c>
      <c r="D830" s="2" t="s">
        <v>1230</v>
      </c>
      <c r="E830" s="2" t="s">
        <v>38</v>
      </c>
      <c r="F830" s="2" t="s">
        <v>2154</v>
      </c>
      <c r="G830" s="2" t="s">
        <v>195</v>
      </c>
      <c r="H830" s="56" t="str">
        <f>Table1[[#This Row],[Tabela]]&amp;Table1[[#This Row],[Campo]]</f>
        <v>modesg_param_sfics_taxon_europeiadata_inicial</v>
      </c>
      <c r="I830" s="2" t="s">
        <v>614</v>
      </c>
      <c r="J830" s="54">
        <f>VLOOKUP(Table1[[#This Row],[Status]],Auxiliar!$B$16:$C$24,2,0)</f>
        <v>5</v>
      </c>
      <c r="K830" s="2" t="s">
        <v>1198</v>
      </c>
      <c r="L830" s="28" t="s">
        <v>1193</v>
      </c>
      <c r="M830" s="20" t="s">
        <v>1194</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7" hidden="1" customHeight="1">
      <c r="B831" s="2" t="s">
        <v>26</v>
      </c>
      <c r="C831" s="2" t="s">
        <v>181</v>
      </c>
      <c r="D831" s="2" t="s">
        <v>1230</v>
      </c>
      <c r="E831" s="2" t="s">
        <v>38</v>
      </c>
      <c r="F831" s="2" t="s">
        <v>2154</v>
      </c>
      <c r="G831" s="2" t="s">
        <v>194</v>
      </c>
      <c r="H831" s="56" t="str">
        <f>Table1[[#This Row],[Tabela]]&amp;Table1[[#This Row],[Campo]]</f>
        <v>modesg_param_sfics_taxon_europeiadata_final</v>
      </c>
      <c r="I831" s="2" t="s">
        <v>614</v>
      </c>
      <c r="J831" s="54">
        <f>VLOOKUP(Table1[[#This Row],[Status]],Auxiliar!$B$16:$C$24,2,0)</f>
        <v>5</v>
      </c>
      <c r="K831" s="2" t="s">
        <v>1198</v>
      </c>
      <c r="L831" s="28" t="s">
        <v>1193</v>
      </c>
      <c r="M831" s="20" t="s">
        <v>1194</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7" hidden="1" customHeight="1">
      <c r="B832" s="2" t="s">
        <v>26</v>
      </c>
      <c r="C832" s="2" t="s">
        <v>181</v>
      </c>
      <c r="D832" s="2" t="s">
        <v>1230</v>
      </c>
      <c r="E832" s="2" t="s">
        <v>38</v>
      </c>
      <c r="F832" s="2" t="s">
        <v>2154</v>
      </c>
      <c r="G832" s="2" t="s">
        <v>209</v>
      </c>
      <c r="H832" s="56" t="str">
        <f>Table1[[#This Row],[Tabela]]&amp;Table1[[#This Row],[Campo]]</f>
        <v>modesg_param_sfics_taxon_europeiazcliente</v>
      </c>
      <c r="I832" s="2" t="s">
        <v>614</v>
      </c>
      <c r="J832" s="54">
        <f>VLOOKUP(Table1[[#This Row],[Status]],Auxiliar!$B$16:$C$24,2,0)</f>
        <v>5</v>
      </c>
      <c r="K832" s="2" t="s">
        <v>1198</v>
      </c>
      <c r="L832" s="28" t="s">
        <v>1193</v>
      </c>
      <c r="M832" s="20" t="s">
        <v>1194</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7" hidden="1" customHeight="1">
      <c r="B833" s="2" t="s">
        <v>26</v>
      </c>
      <c r="C833" s="2" t="s">
        <v>181</v>
      </c>
      <c r="D833" s="2" t="s">
        <v>1230</v>
      </c>
      <c r="E833" s="2" t="s">
        <v>38</v>
      </c>
      <c r="F833" s="2" t="s">
        <v>2154</v>
      </c>
      <c r="G833" s="2" t="s">
        <v>394</v>
      </c>
      <c r="H833" s="56" t="str">
        <f>Table1[[#This Row],[Tabela]]&amp;Table1[[#This Row],[Campo]]</f>
        <v>modesg_param_sfics_taxon_europeiacontraparte</v>
      </c>
      <c r="I833" s="2" t="s">
        <v>614</v>
      </c>
      <c r="J833" s="54">
        <f>VLOOKUP(Table1[[#This Row],[Status]],Auxiliar!$B$16:$C$24,2,0)</f>
        <v>5</v>
      </c>
      <c r="K833" s="2" t="s">
        <v>1198</v>
      </c>
      <c r="L833" s="28" t="s">
        <v>1193</v>
      </c>
      <c r="M833" s="20" t="s">
        <v>1194</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7" hidden="1" customHeight="1">
      <c r="B834" s="2" t="s">
        <v>26</v>
      </c>
      <c r="C834" s="2" t="s">
        <v>181</v>
      </c>
      <c r="D834" s="2" t="s">
        <v>1230</v>
      </c>
      <c r="E834" s="2" t="s">
        <v>38</v>
      </c>
      <c r="F834" s="2" t="s">
        <v>2154</v>
      </c>
      <c r="G834" s="2" t="s">
        <v>184</v>
      </c>
      <c r="H834" s="56" t="str">
        <f>Table1[[#This Row],[Tabela]]&amp;Table1[[#This Row],[Campo]]</f>
        <v>modesg_param_sfics_taxon_europeiacempresa</v>
      </c>
      <c r="I834" s="2" t="s">
        <v>614</v>
      </c>
      <c r="J834" s="54">
        <f>VLOOKUP(Table1[[#This Row],[Status]],Auxiliar!$B$16:$C$24,2,0)</f>
        <v>5</v>
      </c>
      <c r="K834" s="2" t="s">
        <v>1198</v>
      </c>
      <c r="L834" s="28" t="s">
        <v>1193</v>
      </c>
      <c r="M834" s="20" t="s">
        <v>1194</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7" hidden="1" customHeight="1">
      <c r="B835" s="2" t="s">
        <v>26</v>
      </c>
      <c r="C835" s="2" t="s">
        <v>181</v>
      </c>
      <c r="D835" s="2" t="s">
        <v>1230</v>
      </c>
      <c r="E835" s="2" t="s">
        <v>38</v>
      </c>
      <c r="F835" s="2" t="s">
        <v>2154</v>
      </c>
      <c r="G835" s="2" t="s">
        <v>183</v>
      </c>
      <c r="H835" s="56" t="str">
        <f>Table1[[#This Row],[Tabela]]&amp;Table1[[#This Row],[Campo]]</f>
        <v>modesg_param_sfics_taxon_europeiacbalcao</v>
      </c>
      <c r="I835" s="2" t="s">
        <v>614</v>
      </c>
      <c r="J835" s="54">
        <f>VLOOKUP(Table1[[#This Row],[Status]],Auxiliar!$B$16:$C$24,2,0)</f>
        <v>5</v>
      </c>
      <c r="K835" s="2" t="s">
        <v>1198</v>
      </c>
      <c r="L835" s="28" t="s">
        <v>1193</v>
      </c>
      <c r="M835" s="20" t="s">
        <v>1194</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7" hidden="1" customHeight="1">
      <c r="B836" s="2" t="s">
        <v>26</v>
      </c>
      <c r="C836" s="2" t="s">
        <v>181</v>
      </c>
      <c r="D836" s="2" t="s">
        <v>1230</v>
      </c>
      <c r="E836" s="2" t="s">
        <v>38</v>
      </c>
      <c r="F836" s="2" t="s">
        <v>2154</v>
      </c>
      <c r="G836" s="2" t="s">
        <v>189</v>
      </c>
      <c r="H836" s="56" t="str">
        <f>Table1[[#This Row],[Tabela]]&amp;Table1[[#This Row],[Campo]]</f>
        <v>modesg_param_sfics_taxon_europeiacnumecta</v>
      </c>
      <c r="I836" s="2" t="s">
        <v>614</v>
      </c>
      <c r="J836" s="54">
        <f>VLOOKUP(Table1[[#This Row],[Status]],Auxiliar!$B$16:$C$24,2,0)</f>
        <v>5</v>
      </c>
      <c r="K836" s="2" t="s">
        <v>1198</v>
      </c>
      <c r="L836" s="28" t="s">
        <v>1193</v>
      </c>
      <c r="M836" s="20" t="s">
        <v>1194</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7" hidden="1" customHeight="1">
      <c r="B837" s="2" t="s">
        <v>26</v>
      </c>
      <c r="C837" s="2" t="s">
        <v>181</v>
      </c>
      <c r="D837" s="2" t="s">
        <v>1230</v>
      </c>
      <c r="E837" s="2" t="s">
        <v>38</v>
      </c>
      <c r="F837" s="2" t="s">
        <v>2154</v>
      </c>
      <c r="G837" s="2" t="s">
        <v>210</v>
      </c>
      <c r="H837" s="56" t="str">
        <f>Table1[[#This Row],[Tabela]]&amp;Table1[[#This Row],[Campo]]</f>
        <v>modesg_param_sfics_taxon_europeiazdeposit</v>
      </c>
      <c r="I837" s="2" t="s">
        <v>614</v>
      </c>
      <c r="J837" s="54">
        <f>VLOOKUP(Table1[[#This Row],[Status]],Auxiliar!$B$16:$C$24,2,0)</f>
        <v>5</v>
      </c>
      <c r="K837" s="2" t="s">
        <v>1198</v>
      </c>
      <c r="L837" s="28" t="s">
        <v>1193</v>
      </c>
      <c r="M837" s="20" t="s">
        <v>1194</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7" hidden="1" customHeight="1">
      <c r="B838" s="2" t="s">
        <v>26</v>
      </c>
      <c r="C838" s="2" t="s">
        <v>181</v>
      </c>
      <c r="D838" s="2" t="s">
        <v>1230</v>
      </c>
      <c r="E838" s="2" t="s">
        <v>38</v>
      </c>
      <c r="F838" s="2" t="s">
        <v>2154</v>
      </c>
      <c r="G838" s="2" t="s">
        <v>185</v>
      </c>
      <c r="H838" s="56" t="str">
        <f>Table1[[#This Row],[Tabela]]&amp;Table1[[#This Row],[Campo]]</f>
        <v>modesg_param_sfics_taxon_europeiackmetamis</v>
      </c>
      <c r="I838" s="2" t="s">
        <v>614</v>
      </c>
      <c r="J838" s="54">
        <f>VLOOKUP(Table1[[#This Row],[Status]],Auxiliar!$B$16:$C$24,2,0)</f>
        <v>5</v>
      </c>
      <c r="K838" s="2" t="s">
        <v>1198</v>
      </c>
      <c r="L838" s="28" t="s">
        <v>1193</v>
      </c>
      <c r="M838" s="20" t="s">
        <v>1194</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7" hidden="1" customHeight="1">
      <c r="B839" s="2" t="s">
        <v>26</v>
      </c>
      <c r="C839" s="2" t="s">
        <v>181</v>
      </c>
      <c r="D839" s="2" t="s">
        <v>1230</v>
      </c>
      <c r="E839" s="2" t="s">
        <v>38</v>
      </c>
      <c r="F839" s="2" t="s">
        <v>2154</v>
      </c>
      <c r="G839" s="2" t="s">
        <v>186</v>
      </c>
      <c r="H839" s="56" t="str">
        <f>Table1[[#This Row],[Tabela]]&amp;Table1[[#This Row],[Campo]]</f>
        <v>modesg_param_sfics_taxon_europeiackprodmi</v>
      </c>
      <c r="I839" s="2" t="s">
        <v>614</v>
      </c>
      <c r="J839" s="54">
        <f>VLOOKUP(Table1[[#This Row],[Status]],Auxiliar!$B$16:$C$24,2,0)</f>
        <v>5</v>
      </c>
      <c r="K839" s="2" t="s">
        <v>1198</v>
      </c>
      <c r="L839" s="28" t="s">
        <v>1193</v>
      </c>
      <c r="M839" s="20" t="s">
        <v>1194</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7" hidden="1" customHeight="1">
      <c r="B840" s="2" t="s">
        <v>26</v>
      </c>
      <c r="C840" s="2" t="s">
        <v>181</v>
      </c>
      <c r="D840" s="2" t="s">
        <v>1230</v>
      </c>
      <c r="E840" s="2" t="s">
        <v>38</v>
      </c>
      <c r="F840" s="2" t="s">
        <v>2154</v>
      </c>
      <c r="G840" s="2" t="s">
        <v>2102</v>
      </c>
      <c r="H840" s="56" t="str">
        <f>Table1[[#This Row],[Tabela]]&amp;Table1[[#This Row],[Campo]]</f>
        <v>modesg_param_sfics_taxon_europeiaprdt_sprdt</v>
      </c>
      <c r="I840" s="2" t="s">
        <v>614</v>
      </c>
      <c r="J840" s="54">
        <f>VLOOKUP(Table1[[#This Row],[Status]],Auxiliar!$B$16:$C$24,2,0)</f>
        <v>5</v>
      </c>
      <c r="K840" s="2" t="s">
        <v>1198</v>
      </c>
      <c r="L840" s="28" t="s">
        <v>1193</v>
      </c>
      <c r="M840" s="20" t="s">
        <v>1194</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7" hidden="1" customHeight="1">
      <c r="B841" s="2" t="s">
        <v>26</v>
      </c>
      <c r="C841" s="2" t="s">
        <v>181</v>
      </c>
      <c r="D841" s="2" t="s">
        <v>1230</v>
      </c>
      <c r="E841" s="2" t="s">
        <v>38</v>
      </c>
      <c r="F841" s="2" t="s">
        <v>2154</v>
      </c>
      <c r="G841" s="2" t="s">
        <v>187</v>
      </c>
      <c r="H841" s="56" t="str">
        <f>Table1[[#This Row],[Tabela]]&amp;Table1[[#This Row],[Campo]]</f>
        <v>modesg_param_sfics_taxon_europeiacmetanseg</v>
      </c>
      <c r="I841" s="2" t="s">
        <v>614</v>
      </c>
      <c r="J841" s="42">
        <f>VLOOKUP(Table1[[#This Row],[Status]],Auxiliar!$B$16:$C$24,2,0)</f>
        <v>5</v>
      </c>
      <c r="K841" s="2" t="s">
        <v>1198</v>
      </c>
      <c r="L841" s="28" t="s">
        <v>1185</v>
      </c>
      <c r="M841" s="20" t="s">
        <v>1194</v>
      </c>
      <c r="N841" s="47">
        <v>45688</v>
      </c>
      <c r="O841" s="20">
        <f>INDEX(Auxiliar!$D$5:$F$13,MATCH(Table1[[#This Row],[Tipologia_Testes]],Auxiliar!$B$5:$B$13,0),MATCH(Table1[[#This Row],[Complexidade]],Auxiliar!$D$4:$F$4,0))</f>
        <v>0.5</v>
      </c>
      <c r="P841" s="2" t="s">
        <v>1233</v>
      </c>
      <c r="Q841" s="2"/>
      <c r="R841" s="151">
        <v>45563</v>
      </c>
      <c r="S841" s="151"/>
      <c r="T841" s="151">
        <v>45563</v>
      </c>
      <c r="U841" s="151">
        <v>45603</v>
      </c>
      <c r="V841" s="151">
        <v>45604</v>
      </c>
      <c r="W841" s="2">
        <f>VLOOKUP(Table1[[#This Row],[Status]],Auxiliar!$B$16:$D$24,3,0)*Table1[[#This Row],[Estimação (horas)]]</f>
        <v>0.125</v>
      </c>
      <c r="X841" s="2"/>
    </row>
    <row r="842" spans="2:24" ht="17.7" hidden="1" customHeight="1">
      <c r="B842" s="2" t="s">
        <v>26</v>
      </c>
      <c r="C842" s="2" t="s">
        <v>181</v>
      </c>
      <c r="D842" s="2" t="s">
        <v>1230</v>
      </c>
      <c r="E842" s="2" t="s">
        <v>38</v>
      </c>
      <c r="F842" s="2" t="s">
        <v>2154</v>
      </c>
      <c r="G842" s="2" t="s">
        <v>198</v>
      </c>
      <c r="H842" s="56" t="str">
        <f>Table1[[#This Row],[Tabela]]&amp;Table1[[#This Row],[Campo]]</f>
        <v>modesg_param_sfics_taxon_europeiaepc</v>
      </c>
      <c r="I842" s="2" t="s">
        <v>614</v>
      </c>
      <c r="J842" s="42">
        <f>VLOOKUP(Table1[[#This Row],[Status]],Auxiliar!$B$16:$C$24,2,0)</f>
        <v>5</v>
      </c>
      <c r="K842" s="2" t="s">
        <v>1198</v>
      </c>
      <c r="L842" s="28" t="s">
        <v>1185</v>
      </c>
      <c r="M842" s="20" t="s">
        <v>1194</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7" hidden="1" customHeight="1">
      <c r="B843" s="2" t="s">
        <v>26</v>
      </c>
      <c r="C843" s="2" t="s">
        <v>181</v>
      </c>
      <c r="D843" s="2" t="s">
        <v>1230</v>
      </c>
      <c r="E843" s="2" t="s">
        <v>38</v>
      </c>
      <c r="F843" s="2" t="s">
        <v>2154</v>
      </c>
      <c r="G843" s="2" t="s">
        <v>2111</v>
      </c>
      <c r="H843" s="56" t="str">
        <f>Table1[[#This Row],[Tabela]]&amp;Table1[[#This Row],[Campo]]</f>
        <v>modesg_param_sfics_taxon_europeiaquality_score</v>
      </c>
      <c r="I843" s="2" t="s">
        <v>614</v>
      </c>
      <c r="J843" s="42">
        <f>VLOOKUP(Table1[[#This Row],[Status]],Auxiliar!$B$16:$C$24,2,0)</f>
        <v>5</v>
      </c>
      <c r="K843" s="2" t="s">
        <v>1198</v>
      </c>
      <c r="L843" s="28" t="s">
        <v>1193</v>
      </c>
      <c r="M843" s="20" t="s">
        <v>1194</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7" hidden="1" customHeight="1">
      <c r="B844" s="2" t="s">
        <v>26</v>
      </c>
      <c r="C844" s="2" t="s">
        <v>181</v>
      </c>
      <c r="D844" s="2" t="s">
        <v>1230</v>
      </c>
      <c r="E844" s="2" t="s">
        <v>38</v>
      </c>
      <c r="F844" s="2" t="s">
        <v>2154</v>
      </c>
      <c r="G844" s="2" t="s">
        <v>2112</v>
      </c>
      <c r="H844" s="56" t="str">
        <f>Table1[[#This Row],[Tabela]]&amp;Table1[[#This Row],[Campo]]</f>
        <v>modesg_param_sfics_taxon_europeianzeb</v>
      </c>
      <c r="I844" s="2" t="s">
        <v>614</v>
      </c>
      <c r="J844" s="42">
        <f>VLOOKUP(Table1[[#This Row],[Status]],Auxiliar!$B$16:$C$24,2,0)</f>
        <v>5</v>
      </c>
      <c r="K844" s="2" t="s">
        <v>1198</v>
      </c>
      <c r="L844" s="28" t="s">
        <v>1193</v>
      </c>
      <c r="M844" s="20" t="s">
        <v>1194</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7" hidden="1" customHeight="1">
      <c r="B845" s="2" t="s">
        <v>26</v>
      </c>
      <c r="C845" s="2" t="s">
        <v>181</v>
      </c>
      <c r="D845" s="2" t="s">
        <v>1230</v>
      </c>
      <c r="E845" s="2" t="s">
        <v>38</v>
      </c>
      <c r="F845" s="2" t="s">
        <v>2154</v>
      </c>
      <c r="G845" s="2" t="s">
        <v>2113</v>
      </c>
      <c r="H845" s="56" t="str">
        <f>Table1[[#This Row],[Tabela]]&amp;Table1[[#This Row],[Campo]]</f>
        <v>modesg_param_sfics_taxon_europeiaRIEE</v>
      </c>
      <c r="I845" s="2" t="s">
        <v>614</v>
      </c>
      <c r="J845" s="42">
        <f>VLOOKUP(Table1[[#This Row],[Status]],Auxiliar!$B$16:$C$24,2,0)</f>
        <v>5</v>
      </c>
      <c r="K845" s="2" t="s">
        <v>1198</v>
      </c>
      <c r="L845" s="28" t="s">
        <v>1193</v>
      </c>
      <c r="M845" s="20" t="s">
        <v>1194</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7" hidden="1" customHeight="1">
      <c r="B846" s="2" t="s">
        <v>26</v>
      </c>
      <c r="C846" s="2" t="s">
        <v>181</v>
      </c>
      <c r="D846" s="2" t="s">
        <v>1230</v>
      </c>
      <c r="E846" s="2" t="s">
        <v>38</v>
      </c>
      <c r="F846" s="2" t="s">
        <v>2154</v>
      </c>
      <c r="G846" s="2" t="s">
        <v>2114</v>
      </c>
      <c r="H846" s="56" t="str">
        <f>Table1[[#This Row],[Tabela]]&amp;Table1[[#This Row],[Campo]]</f>
        <v>modesg_param_sfics_taxon_europeiaRNT</v>
      </c>
      <c r="I846" s="2" t="s">
        <v>614</v>
      </c>
      <c r="J846" s="42">
        <f>VLOOKUP(Table1[[#This Row],[Status]],Auxiliar!$B$16:$C$24,2,0)</f>
        <v>5</v>
      </c>
      <c r="K846" s="2" t="s">
        <v>1198</v>
      </c>
      <c r="L846" s="28" t="s">
        <v>1193</v>
      </c>
      <c r="M846" s="20" t="s">
        <v>1194</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7" hidden="1" customHeight="1">
      <c r="B847" s="2" t="s">
        <v>26</v>
      </c>
      <c r="C847" s="2" t="s">
        <v>181</v>
      </c>
      <c r="D847" s="2" t="s">
        <v>1230</v>
      </c>
      <c r="E847" s="2" t="s">
        <v>38</v>
      </c>
      <c r="F847" s="2" t="s">
        <v>2154</v>
      </c>
      <c r="G847" s="2" t="s">
        <v>283</v>
      </c>
      <c r="H847" s="56" t="str">
        <f>Table1[[#This Row],[Tabela]]&amp;Table1[[#This Row],[Campo]]</f>
        <v>modesg_param_sfics_taxon_europeiaflg_rsc_fsc_crnc</v>
      </c>
      <c r="I847" s="2" t="s">
        <v>614</v>
      </c>
      <c r="J847" s="42">
        <f>VLOOKUP(Table1[[#This Row],[Status]],Auxiliar!$B$16:$C$24,2,0)</f>
        <v>5</v>
      </c>
      <c r="K847" s="2" t="s">
        <v>1198</v>
      </c>
      <c r="L847" s="28" t="s">
        <v>1193</v>
      </c>
      <c r="M847" s="20" t="s">
        <v>1194</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7" hidden="1" customHeight="1">
      <c r="B848" s="2" t="s">
        <v>26</v>
      </c>
      <c r="C848" s="2" t="s">
        <v>181</v>
      </c>
      <c r="D848" s="2" t="s">
        <v>1230</v>
      </c>
      <c r="E848" s="2" t="s">
        <v>38</v>
      </c>
      <c r="F848" s="2" t="s">
        <v>2154</v>
      </c>
      <c r="G848" s="2" t="s">
        <v>282</v>
      </c>
      <c r="H848" s="56" t="str">
        <f>Table1[[#This Row],[Tabela]]&amp;Table1[[#This Row],[Campo]]</f>
        <v>modesg_param_sfics_taxon_europeiaflg_rsc_fsc_agd</v>
      </c>
      <c r="I848" s="2" t="s">
        <v>614</v>
      </c>
      <c r="J848" s="42">
        <f>VLOOKUP(Table1[[#This Row],[Status]],Auxiliar!$B$16:$C$24,2,0)</f>
        <v>5</v>
      </c>
      <c r="K848" s="2" t="s">
        <v>1198</v>
      </c>
      <c r="L848" s="28" t="s">
        <v>1193</v>
      </c>
      <c r="M848" s="20" t="s">
        <v>1194</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7" hidden="1" customHeight="1">
      <c r="B849" s="2" t="s">
        <v>26</v>
      </c>
      <c r="C849" s="2" t="s">
        <v>181</v>
      </c>
      <c r="D849" s="2" t="s">
        <v>1230</v>
      </c>
      <c r="E849" s="2" t="s">
        <v>38</v>
      </c>
      <c r="F849" s="2" t="s">
        <v>2154</v>
      </c>
      <c r="G849" s="2" t="s">
        <v>2110</v>
      </c>
      <c r="H849" s="56" t="str">
        <f>Table1[[#This Row],[Tabela]]&amp;Table1[[#This Row],[Campo]]</f>
        <v>modesg_param_sfics_taxon_europeiaconstruction_year</v>
      </c>
      <c r="I849" s="2" t="s">
        <v>614</v>
      </c>
      <c r="J849" s="42">
        <f>VLOOKUP(Table1[[#This Row],[Status]],Auxiliar!$B$16:$C$24,2,0)</f>
        <v>5</v>
      </c>
      <c r="K849" s="2" t="s">
        <v>1198</v>
      </c>
      <c r="L849" s="28" t="s">
        <v>1193</v>
      </c>
      <c r="M849" s="20" t="s">
        <v>1194</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7" hidden="1" customHeight="1">
      <c r="B850" s="2" t="s">
        <v>26</v>
      </c>
      <c r="C850" s="2" t="s">
        <v>181</v>
      </c>
      <c r="D850" s="2" t="s">
        <v>1230</v>
      </c>
      <c r="E850" s="2" t="s">
        <v>38</v>
      </c>
      <c r="F850" s="2" t="s">
        <v>2154</v>
      </c>
      <c r="G850" s="2" t="s">
        <v>2107</v>
      </c>
      <c r="H850" s="56" t="str">
        <f>Table1[[#This Row],[Tabela]]&amp;Table1[[#This Row],[Campo]]</f>
        <v>modesg_param_sfics_taxon_europeiaproperty_purpose_code</v>
      </c>
      <c r="I850" s="2" t="s">
        <v>614</v>
      </c>
      <c r="J850" s="42">
        <f>VLOOKUP(Table1[[#This Row],[Status]],Auxiliar!$B$16:$C$24,2,0)</f>
        <v>5</v>
      </c>
      <c r="K850" s="2" t="s">
        <v>1198</v>
      </c>
      <c r="L850" s="28" t="s">
        <v>1193</v>
      </c>
      <c r="M850" s="20" t="s">
        <v>1194</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7" hidden="1" customHeight="1">
      <c r="B851" s="2" t="s">
        <v>26</v>
      </c>
      <c r="C851" s="2" t="s">
        <v>181</v>
      </c>
      <c r="D851" s="2" t="s">
        <v>1230</v>
      </c>
      <c r="E851" s="2" t="s">
        <v>38</v>
      </c>
      <c r="F851" s="2" t="s">
        <v>2154</v>
      </c>
      <c r="G851" s="2" t="s">
        <v>2106</v>
      </c>
      <c r="H851" s="56" t="str">
        <f>Table1[[#This Row],[Tabela]]&amp;Table1[[#This Row],[Campo]]</f>
        <v>modesg_param_sfics_taxon_europeiacfamilia</v>
      </c>
      <c r="I851" s="2" t="s">
        <v>614</v>
      </c>
      <c r="J851" s="54">
        <f>VLOOKUP(Table1[[#This Row],[Status]],Auxiliar!$B$16:$C$24,2,0)</f>
        <v>5</v>
      </c>
      <c r="K851" s="2" t="s">
        <v>1198</v>
      </c>
      <c r="L851" s="28" t="s">
        <v>1193</v>
      </c>
      <c r="M851" s="20" t="s">
        <v>1194</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7" hidden="1" customHeight="1">
      <c r="B852" s="2" t="s">
        <v>26</v>
      </c>
      <c r="C852" s="2" t="s">
        <v>181</v>
      </c>
      <c r="D852" s="2" t="s">
        <v>1230</v>
      </c>
      <c r="E852" s="2" t="s">
        <v>38</v>
      </c>
      <c r="F852" s="2" t="s">
        <v>2154</v>
      </c>
      <c r="G852" s="2" t="s">
        <v>200</v>
      </c>
      <c r="H852" s="56" t="str">
        <f>Table1[[#This Row],[Tabela]]&amp;Table1[[#This Row],[Campo]]</f>
        <v>modesg_param_sfics_taxon_europeiacfinalidad</v>
      </c>
      <c r="I852" s="2" t="s">
        <v>614</v>
      </c>
      <c r="J852" s="54">
        <f>VLOOKUP(Table1[[#This Row],[Status]],Auxiliar!$B$16:$C$24,2,0)</f>
        <v>5</v>
      </c>
      <c r="K852" s="2" t="s">
        <v>1198</v>
      </c>
      <c r="L852" s="28" t="s">
        <v>1193</v>
      </c>
      <c r="M852" s="20" t="s">
        <v>1194</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7" hidden="1" customHeight="1">
      <c r="B853" s="2" t="s">
        <v>26</v>
      </c>
      <c r="C853" s="2" t="s">
        <v>181</v>
      </c>
      <c r="D853" s="2" t="s">
        <v>1230</v>
      </c>
      <c r="E853" s="2" t="s">
        <v>38</v>
      </c>
      <c r="F853" s="2" t="s">
        <v>2154</v>
      </c>
      <c r="G853" s="2" t="s">
        <v>199</v>
      </c>
      <c r="H853" s="56" t="str">
        <f>Table1[[#This Row],[Tabela]]&amp;Table1[[#This Row],[Campo]]</f>
        <v>modesg_param_sfics_taxon_europeiaflag_project_finance</v>
      </c>
      <c r="I853" s="2" t="s">
        <v>614</v>
      </c>
      <c r="J853" s="54">
        <f>VLOOKUP(Table1[[#This Row],[Status]],Auxiliar!$B$16:$C$24,2,0)</f>
        <v>5</v>
      </c>
      <c r="K853" s="2" t="s">
        <v>1198</v>
      </c>
      <c r="L853" s="28" t="s">
        <v>1193</v>
      </c>
      <c r="M853" s="20" t="s">
        <v>1194</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7" hidden="1" customHeight="1">
      <c r="B854" s="2" t="s">
        <v>26</v>
      </c>
      <c r="C854" s="2" t="s">
        <v>181</v>
      </c>
      <c r="D854" s="2" t="s">
        <v>1230</v>
      </c>
      <c r="E854" s="2" t="s">
        <v>38</v>
      </c>
      <c r="F854" s="2" t="s">
        <v>2154</v>
      </c>
      <c r="G854" s="2" t="s">
        <v>2109</v>
      </c>
      <c r="H854" s="56" t="str">
        <f>Table1[[#This Row],[Tabela]]&amp;Table1[[#This Row],[Campo]]</f>
        <v>modesg_param_sfics_taxon_europeiatipo_eqp</v>
      </c>
      <c r="I854" s="2" t="s">
        <v>614</v>
      </c>
      <c r="J854" s="54">
        <f>VLOOKUP(Table1[[#This Row],[Status]],Auxiliar!$B$16:$C$24,2,0)</f>
        <v>5</v>
      </c>
      <c r="K854" s="2" t="s">
        <v>1198</v>
      </c>
      <c r="L854" s="28" t="s">
        <v>1193</v>
      </c>
      <c r="M854" s="20" t="s">
        <v>1194</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7" hidden="1" customHeight="1">
      <c r="B855" s="2" t="s">
        <v>26</v>
      </c>
      <c r="C855" s="2" t="s">
        <v>181</v>
      </c>
      <c r="D855" s="2" t="s">
        <v>1230</v>
      </c>
      <c r="E855" s="2" t="s">
        <v>38</v>
      </c>
      <c r="F855" s="2" t="s">
        <v>2154</v>
      </c>
      <c r="G855" s="2" t="s">
        <v>2104</v>
      </c>
      <c r="H855" s="56" t="str">
        <f>Table1[[#This Row],[Tabela]]&amp;Table1[[#This Row],[Campo]]</f>
        <v>modesg_param_sfics_taxon_europeiacombustivel</v>
      </c>
      <c r="I855" s="2" t="s">
        <v>614</v>
      </c>
      <c r="J855" s="54">
        <f>VLOOKUP(Table1[[#This Row],[Status]],Auxiliar!$B$16:$C$24,2,0)</f>
        <v>5</v>
      </c>
      <c r="K855" s="2" t="s">
        <v>1198</v>
      </c>
      <c r="L855" s="28" t="s">
        <v>1193</v>
      </c>
      <c r="M855" s="20" t="s">
        <v>1194</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7" hidden="1" customHeight="1">
      <c r="B856" s="2" t="s">
        <v>26</v>
      </c>
      <c r="C856" s="2" t="s">
        <v>181</v>
      </c>
      <c r="D856" s="2" t="s">
        <v>1230</v>
      </c>
      <c r="E856" s="2" t="s">
        <v>38</v>
      </c>
      <c r="F856" s="2" t="s">
        <v>2154</v>
      </c>
      <c r="G856" s="2" t="s">
        <v>2105</v>
      </c>
      <c r="H856" s="56" t="str">
        <f>Table1[[#This Row],[Tabela]]&amp;Table1[[#This Row],[Campo]]</f>
        <v>modesg_param_sfics_taxon_europeiaco2</v>
      </c>
      <c r="I856" s="2" t="s">
        <v>614</v>
      </c>
      <c r="J856" s="54">
        <f>VLOOKUP(Table1[[#This Row],[Status]],Auxiliar!$B$16:$C$24,2,0)</f>
        <v>5</v>
      </c>
      <c r="K856" s="2" t="s">
        <v>1198</v>
      </c>
      <c r="L856" s="28" t="s">
        <v>1193</v>
      </c>
      <c r="M856" s="20" t="s">
        <v>1194</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7" hidden="1" customHeight="1">
      <c r="B857" s="2" t="s">
        <v>26</v>
      </c>
      <c r="C857" s="2" t="s">
        <v>181</v>
      </c>
      <c r="D857" s="2" t="s">
        <v>1230</v>
      </c>
      <c r="E857" s="2" t="s">
        <v>38</v>
      </c>
      <c r="F857" s="2" t="s">
        <v>2154</v>
      </c>
      <c r="G857" s="2" t="s">
        <v>190</v>
      </c>
      <c r="H857" s="56" t="str">
        <f>Table1[[#This Row],[Tabela]]&amp;Table1[[#This Row],[Campo]]</f>
        <v>modesg_param_sfics_taxon_europeiacod_lease</v>
      </c>
      <c r="I857" s="2" t="s">
        <v>614</v>
      </c>
      <c r="J857" s="42">
        <f>VLOOKUP(Table1[[#This Row],[Status]],Auxiliar!$B$16:$C$24,2,0)</f>
        <v>5</v>
      </c>
      <c r="K857" s="2" t="s">
        <v>1198</v>
      </c>
      <c r="L857" s="28" t="s">
        <v>649</v>
      </c>
      <c r="M857" s="20" t="s">
        <v>1194</v>
      </c>
      <c r="N857" s="47">
        <v>45688</v>
      </c>
      <c r="O857" s="20">
        <f>INDEX(Auxiliar!$D$5:$F$13,MATCH(Table1[[#This Row],[Tipologia_Testes]],Auxiliar!$B$5:$B$13,0),MATCH(Table1[[#This Row],[Complexidade]],Auxiliar!$D$4:$F$4,0))</f>
        <v>0.5</v>
      </c>
      <c r="P857" s="2" t="s">
        <v>1234</v>
      </c>
      <c r="Q857" s="2"/>
      <c r="R857" s="151">
        <v>45563</v>
      </c>
      <c r="S857" s="151"/>
      <c r="T857" s="151">
        <v>45563</v>
      </c>
      <c r="U857" s="151">
        <v>45603</v>
      </c>
      <c r="V857" s="151">
        <v>45604</v>
      </c>
      <c r="W857" s="2">
        <f>VLOOKUP(Table1[[#This Row],[Status]],Auxiliar!$B$16:$D$24,3,0)*Table1[[#This Row],[Estimação (horas)]]</f>
        <v>0.125</v>
      </c>
      <c r="X857" s="2"/>
    </row>
    <row r="858" spans="2:24" ht="17.7" hidden="1" customHeight="1">
      <c r="B858" s="2" t="s">
        <v>26</v>
      </c>
      <c r="C858" s="2" t="s">
        <v>181</v>
      </c>
      <c r="D858" s="2" t="s">
        <v>1230</v>
      </c>
      <c r="E858" s="2" t="s">
        <v>38</v>
      </c>
      <c r="F858" s="2" t="s">
        <v>2154</v>
      </c>
      <c r="G858" s="2" t="s">
        <v>2108</v>
      </c>
      <c r="H858" s="56" t="str">
        <f>Table1[[#This Row],[Tabela]]&amp;Table1[[#This Row],[Campo]]</f>
        <v>modesg_param_sfics_taxon_europeiadabertur</v>
      </c>
      <c r="I858" s="2" t="s">
        <v>614</v>
      </c>
      <c r="J858" s="42">
        <f>VLOOKUP(Table1[[#This Row],[Status]],Auxiliar!$B$16:$C$24,2,0)</f>
        <v>5</v>
      </c>
      <c r="K858" s="2" t="s">
        <v>1198</v>
      </c>
      <c r="L858" s="28" t="s">
        <v>649</v>
      </c>
      <c r="M858" s="20" t="s">
        <v>1194</v>
      </c>
      <c r="N858" s="47">
        <v>45688</v>
      </c>
      <c r="O858" s="20">
        <f>INDEX(Auxiliar!$D$5:$F$13,MATCH(Table1[[#This Row],[Tipologia_Testes]],Auxiliar!$B$5:$B$13,0),MATCH(Table1[[#This Row],[Complexidade]],Auxiliar!$D$4:$F$4,0))</f>
        <v>0.5</v>
      </c>
      <c r="P858" s="2" t="s">
        <v>1234</v>
      </c>
      <c r="Q858" s="2"/>
      <c r="R858" s="151">
        <v>45563</v>
      </c>
      <c r="S858" s="151"/>
      <c r="T858" s="151">
        <v>45563</v>
      </c>
      <c r="U858" s="151">
        <v>45603</v>
      </c>
      <c r="V858" s="151">
        <v>45604</v>
      </c>
      <c r="W858" s="2">
        <f>VLOOKUP(Table1[[#This Row],[Status]],Auxiliar!$B$16:$D$24,3,0)*Table1[[#This Row],[Estimação (horas)]]</f>
        <v>0.125</v>
      </c>
      <c r="X858" s="2"/>
    </row>
    <row r="859" spans="2:24" ht="17.7" hidden="1" customHeight="1">
      <c r="B859" s="2" t="s">
        <v>26</v>
      </c>
      <c r="C859" s="2" t="s">
        <v>181</v>
      </c>
      <c r="D859" s="2" t="s">
        <v>1230</v>
      </c>
      <c r="E859" s="2" t="s">
        <v>38</v>
      </c>
      <c r="F859" s="2" t="s">
        <v>2154</v>
      </c>
      <c r="G859" s="2" t="s">
        <v>2103</v>
      </c>
      <c r="H859" s="56" t="str">
        <f>Table1[[#This Row],[Tabela]]&amp;Table1[[#This Row],[Campo]]</f>
        <v>modesg_param_sfics_taxon_europeiaflg_csrd</v>
      </c>
      <c r="I859" s="2" t="s">
        <v>614</v>
      </c>
      <c r="J859" s="42">
        <f>VLOOKUP(Table1[[#This Row],[Status]],Auxiliar!$B$16:$C$24,2,0)</f>
        <v>5</v>
      </c>
      <c r="K859" s="2" t="s">
        <v>1198</v>
      </c>
      <c r="L859" s="28" t="s">
        <v>649</v>
      </c>
      <c r="M859" s="20" t="s">
        <v>1195</v>
      </c>
      <c r="N859" s="47">
        <v>45688</v>
      </c>
      <c r="O859" s="20">
        <f>INDEX(Auxiliar!$D$5:$F$13,MATCH(Table1[[#This Row],[Tipologia_Testes]],Auxiliar!$B$5:$B$13,0),MATCH(Table1[[#This Row],[Complexidade]],Auxiliar!$D$4:$F$4,0))</f>
        <v>0.5</v>
      </c>
      <c r="P859" s="2" t="s">
        <v>1235</v>
      </c>
      <c r="Q859" s="2"/>
      <c r="R859" s="151">
        <v>45563</v>
      </c>
      <c r="S859" s="151"/>
      <c r="T859" s="151">
        <v>45563</v>
      </c>
      <c r="U859" s="151">
        <v>45603</v>
      </c>
      <c r="V859" s="151">
        <v>45604</v>
      </c>
      <c r="W859" s="2">
        <f>VLOOKUP(Table1[[#This Row],[Status]],Auxiliar!$B$16:$D$24,3,0)*Table1[[#This Row],[Estimação (horas)]]</f>
        <v>0.125</v>
      </c>
      <c r="X859" s="2"/>
    </row>
    <row r="860" spans="2:24" ht="17.7" hidden="1" customHeight="1">
      <c r="B860" s="2" t="s">
        <v>26</v>
      </c>
      <c r="C860" s="2" t="s">
        <v>181</v>
      </c>
      <c r="D860" s="2" t="s">
        <v>1230</v>
      </c>
      <c r="E860" s="2" t="s">
        <v>38</v>
      </c>
      <c r="F860" s="2" t="s">
        <v>2154</v>
      </c>
      <c r="G860" s="2" t="s">
        <v>2101</v>
      </c>
      <c r="H860" s="56" t="str">
        <f>Table1[[#This Row],[Tabela]]&amp;Table1[[#This Row],[Campo]]</f>
        <v>modesg_param_sfics_taxon_europeianome_ctgr_sfics</v>
      </c>
      <c r="I860" s="2" t="s">
        <v>614</v>
      </c>
      <c r="J860" s="42">
        <f>VLOOKUP(Table1[[#This Row],[Status]],Auxiliar!$B$16:$C$24,2,0)</f>
        <v>5</v>
      </c>
      <c r="K860" s="2" t="s">
        <v>1198</v>
      </c>
      <c r="L860" s="28" t="s">
        <v>649</v>
      </c>
      <c r="M860" s="20" t="s">
        <v>1195</v>
      </c>
      <c r="N860" s="47">
        <v>45688</v>
      </c>
      <c r="O860" s="20">
        <f>INDEX(Auxiliar!$D$5:$F$13,MATCH(Table1[[#This Row],[Tipologia_Testes]],Auxiliar!$B$5:$B$13,0),MATCH(Table1[[#This Row],[Complexidade]],Auxiliar!$D$4:$F$4,0))</f>
        <v>0.5</v>
      </c>
      <c r="P860" s="2" t="s">
        <v>1235</v>
      </c>
      <c r="Q860" s="2"/>
      <c r="R860" s="151">
        <v>45563</v>
      </c>
      <c r="S860" s="151"/>
      <c r="T860" s="151">
        <v>45563</v>
      </c>
      <c r="U860" s="151">
        <v>45603</v>
      </c>
      <c r="V860" s="151">
        <v>45604</v>
      </c>
      <c r="W860" s="2">
        <f>VLOOKUP(Table1[[#This Row],[Status]],Auxiliar!$B$16:$D$24,3,0)*Table1[[#This Row],[Estimação (horas)]]</f>
        <v>0.125</v>
      </c>
      <c r="X860" s="2"/>
    </row>
    <row r="861" spans="2:24" ht="17.7" hidden="1" customHeight="1">
      <c r="B861" s="2" t="s">
        <v>26</v>
      </c>
      <c r="C861" s="2" t="s">
        <v>181</v>
      </c>
      <c r="D861" s="2" t="s">
        <v>1230</v>
      </c>
      <c r="E861" s="2" t="s">
        <v>38</v>
      </c>
      <c r="F861" s="2" t="s">
        <v>2154</v>
      </c>
      <c r="G861" s="2" t="s">
        <v>202</v>
      </c>
      <c r="H861" s="56" t="str">
        <f>Table1[[#This Row],[Tabela]]&amp;Table1[[#This Row],[Campo]]</f>
        <v>modesg_param_sfics_taxon_europeiamontante_pndrc</v>
      </c>
      <c r="I861" s="2" t="s">
        <v>614</v>
      </c>
      <c r="J861" s="42">
        <f>VLOOKUP(Table1[[#This Row],[Status]],Auxiliar!$B$16:$C$24,2,0)</f>
        <v>5</v>
      </c>
      <c r="K861" s="2" t="s">
        <v>1198</v>
      </c>
      <c r="L861" s="28" t="s">
        <v>649</v>
      </c>
      <c r="M861" s="20" t="s">
        <v>1194</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7" hidden="1" customHeight="1">
      <c r="B862" s="2" t="s">
        <v>26</v>
      </c>
      <c r="C862" s="2" t="s">
        <v>181</v>
      </c>
      <c r="D862" s="2" t="s">
        <v>1230</v>
      </c>
      <c r="E862" s="2" t="s">
        <v>38</v>
      </c>
      <c r="F862" s="2" t="s">
        <v>2154</v>
      </c>
      <c r="G862" s="2" t="s">
        <v>2115</v>
      </c>
      <c r="H862" s="56" t="str">
        <f>Table1[[#This Row],[Tabela]]&amp;Table1[[#This Row],[Campo]]</f>
        <v>modesg_param_sfics_taxon_europeianome_purpose_esg_alinh_tax</v>
      </c>
      <c r="I862" s="2" t="s">
        <v>614</v>
      </c>
      <c r="J862" s="42">
        <f>VLOOKUP(Table1[[#This Row],[Status]],Auxiliar!$B$16:$C$24,2,0)</f>
        <v>5</v>
      </c>
      <c r="K862" s="2" t="s">
        <v>1198</v>
      </c>
      <c r="L862" s="28" t="s">
        <v>649</v>
      </c>
      <c r="M862" s="20" t="s">
        <v>1194</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7" hidden="1" customHeight="1">
      <c r="B863" s="2" t="s">
        <v>26</v>
      </c>
      <c r="C863" s="2" t="s">
        <v>181</v>
      </c>
      <c r="D863" s="2" t="s">
        <v>1230</v>
      </c>
      <c r="E863" s="2" t="s">
        <v>38</v>
      </c>
      <c r="F863" s="2" t="s">
        <v>2154</v>
      </c>
      <c r="G863" s="2" t="s">
        <v>2116</v>
      </c>
      <c r="H863" s="56" t="str">
        <f>Table1[[#This Row],[Tabela]]&amp;Table1[[#This Row],[Campo]]</f>
        <v>modesg_param_sfics_taxon_europeianome_purpose_esg_nalinh_tax</v>
      </c>
      <c r="I863" s="2" t="s">
        <v>614</v>
      </c>
      <c r="J863" s="42">
        <f>VLOOKUP(Table1[[#This Row],[Status]],Auxiliar!$B$16:$C$24,2,0)</f>
        <v>5</v>
      </c>
      <c r="K863" s="2" t="s">
        <v>1198</v>
      </c>
      <c r="L863" s="28" t="s">
        <v>1193</v>
      </c>
      <c r="M863" s="20" t="s">
        <v>1194</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7" hidden="1" customHeight="1">
      <c r="B864" s="2" t="s">
        <v>26</v>
      </c>
      <c r="C864" s="2" t="s">
        <v>181</v>
      </c>
      <c r="D864" s="2" t="s">
        <v>1230</v>
      </c>
      <c r="E864" s="2" t="s">
        <v>38</v>
      </c>
      <c r="F864" s="2" t="s">
        <v>2154</v>
      </c>
      <c r="G864" s="2" t="s">
        <v>204</v>
      </c>
      <c r="H864" s="56" t="str">
        <f>Table1[[#This Row],[Tabela]]&amp;Table1[[#This Row],[Campo]]</f>
        <v>modesg_param_sfics_taxon_europeianome_general_specific_purpose</v>
      </c>
      <c r="I864" s="2" t="s">
        <v>614</v>
      </c>
      <c r="J864" s="42">
        <f>VLOOKUP(Table1[[#This Row],[Status]],Auxiliar!$B$16:$C$24,2,0)</f>
        <v>5</v>
      </c>
      <c r="K864" s="2" t="s">
        <v>1198</v>
      </c>
      <c r="L864" s="28" t="s">
        <v>1193</v>
      </c>
      <c r="M864" s="20" t="s">
        <v>1194</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599999999999994" hidden="1" customHeight="1">
      <c r="B865" s="2" t="s">
        <v>26</v>
      </c>
      <c r="C865" s="2" t="s">
        <v>181</v>
      </c>
      <c r="D865" s="2" t="s">
        <v>1230</v>
      </c>
      <c r="E865" s="2" t="s">
        <v>38</v>
      </c>
      <c r="F865" s="2" t="s">
        <v>2154</v>
      </c>
      <c r="G865" s="2" t="s">
        <v>206</v>
      </c>
      <c r="H865" s="56" t="str">
        <f>Table1[[#This Row],[Tabela]]&amp;Table1[[#This Row],[Campo]]</f>
        <v>modesg_param_sfics_taxon_europeianome_specific_eligible</v>
      </c>
      <c r="I865" s="2" t="s">
        <v>614</v>
      </c>
      <c r="J865" s="42">
        <f>VLOOKUP(Table1[[#This Row],[Status]],Auxiliar!$B$16:$C$24,2,0)</f>
        <v>5</v>
      </c>
      <c r="K865" s="2" t="s">
        <v>1198</v>
      </c>
      <c r="L865" s="28" t="s">
        <v>1193</v>
      </c>
      <c r="M865" s="20" t="s">
        <v>1194</v>
      </c>
      <c r="N865" s="47">
        <v>45688</v>
      </c>
      <c r="O865" s="20">
        <f>INDEX(Auxiliar!$D$5:$F$13,MATCH(Table1[[#This Row],[Tipologia_Testes]],Auxiliar!$B$5:$B$13,0),MATCH(Table1[[#This Row],[Complexidade]],Auxiliar!$D$4:$F$4,0))</f>
        <v>0.5</v>
      </c>
      <c r="P865" s="22" t="s">
        <v>1236</v>
      </c>
      <c r="Q865" s="2"/>
      <c r="R865" s="151">
        <v>45261</v>
      </c>
      <c r="S865" s="151"/>
      <c r="T865" s="151">
        <v>45563</v>
      </c>
      <c r="U865" s="151">
        <v>45603</v>
      </c>
      <c r="V865" s="151">
        <v>45604</v>
      </c>
      <c r="W865" s="2">
        <f>VLOOKUP(Table1[[#This Row],[Status]],Auxiliar!$B$16:$D$24,3,0)*Table1[[#This Row],[Estimação (horas)]]</f>
        <v>0.125</v>
      </c>
      <c r="X865" s="2"/>
    </row>
    <row r="866" spans="2:24" ht="69.599999999999994" hidden="1" customHeight="1">
      <c r="B866" s="2" t="s">
        <v>26</v>
      </c>
      <c r="C866" s="2" t="s">
        <v>181</v>
      </c>
      <c r="D866" s="2" t="s">
        <v>1230</v>
      </c>
      <c r="E866" s="2" t="s">
        <v>38</v>
      </c>
      <c r="F866" s="2" t="s">
        <v>2154</v>
      </c>
      <c r="G866" s="2" t="s">
        <v>207</v>
      </c>
      <c r="H866" s="56" t="str">
        <f>Table1[[#This Row],[Tabela]]&amp;Table1[[#This Row],[Campo]]</f>
        <v>modesg_param_sfics_taxon_europeianome_specific_sustainable</v>
      </c>
      <c r="I866" s="2" t="s">
        <v>614</v>
      </c>
      <c r="J866" s="42">
        <f>VLOOKUP(Table1[[#This Row],[Status]],Auxiliar!$B$16:$C$24,2,0)</f>
        <v>5</v>
      </c>
      <c r="K866" s="2" t="s">
        <v>1198</v>
      </c>
      <c r="L866" s="28" t="s">
        <v>1193</v>
      </c>
      <c r="M866" s="20" t="s">
        <v>1194</v>
      </c>
      <c r="N866" s="47">
        <v>45688</v>
      </c>
      <c r="O866" s="20">
        <f>INDEX(Auxiliar!$D$5:$F$13,MATCH(Table1[[#This Row],[Tipologia_Testes]],Auxiliar!$B$5:$B$13,0),MATCH(Table1[[#This Row],[Complexidade]],Auxiliar!$D$4:$F$4,0))</f>
        <v>0.5</v>
      </c>
      <c r="P866" s="22" t="s">
        <v>1236</v>
      </c>
      <c r="Q866" s="2"/>
      <c r="R866" s="151">
        <v>45261</v>
      </c>
      <c r="S866" s="151"/>
      <c r="T866" s="151">
        <v>45563</v>
      </c>
      <c r="U866" s="151">
        <v>45603</v>
      </c>
      <c r="V866" s="151">
        <v>45604</v>
      </c>
      <c r="W866" s="2">
        <f>VLOOKUP(Table1[[#This Row],[Status]],Auxiliar!$B$16:$D$24,3,0)*Table1[[#This Row],[Estimação (horas)]]</f>
        <v>0.125</v>
      </c>
      <c r="X866" s="2"/>
    </row>
    <row r="867" spans="2:24" ht="17.7" hidden="1" customHeight="1">
      <c r="B867" s="2" t="s">
        <v>26</v>
      </c>
      <c r="C867" s="2" t="s">
        <v>181</v>
      </c>
      <c r="D867" s="2" t="s">
        <v>1230</v>
      </c>
      <c r="E867" s="2" t="s">
        <v>38</v>
      </c>
      <c r="F867" s="2" t="s">
        <v>2154</v>
      </c>
      <c r="G867" s="2" t="s">
        <v>208</v>
      </c>
      <c r="H867" s="56" t="str">
        <f>Table1[[#This Row],[Tabela]]&amp;Table1[[#This Row],[Campo]]</f>
        <v>modesg_param_sfics_taxon_europeiaref_date</v>
      </c>
      <c r="I867" s="2" t="s">
        <v>614</v>
      </c>
      <c r="J867" s="54">
        <f>VLOOKUP(Table1[[#This Row],[Status]],Auxiliar!$B$16:$C$24,2,0)</f>
        <v>5</v>
      </c>
      <c r="K867" s="2" t="s">
        <v>1190</v>
      </c>
      <c r="L867" s="28" t="s">
        <v>1193</v>
      </c>
      <c r="M867" s="20" t="s">
        <v>1194</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7" hidden="1" customHeight="1">
      <c r="B868" s="2" t="s">
        <v>26</v>
      </c>
      <c r="C868" s="2" t="s">
        <v>181</v>
      </c>
      <c r="D868" s="2" t="s">
        <v>1230</v>
      </c>
      <c r="E868" s="2" t="s">
        <v>38</v>
      </c>
      <c r="F868" s="2" t="s">
        <v>2154</v>
      </c>
      <c r="G868" s="2" t="s">
        <v>191</v>
      </c>
      <c r="H868" s="56" t="str">
        <f>Table1[[#This Row],[Tabela]]&amp;Table1[[#This Row],[Campo]]</f>
        <v>modesg_param_sfics_taxon_europeiacod_regra</v>
      </c>
      <c r="I868" s="2" t="s">
        <v>614</v>
      </c>
      <c r="J868" s="54">
        <f>VLOOKUP(Table1[[#This Row],[Status]],Auxiliar!$B$16:$C$24,2,0)</f>
        <v>5</v>
      </c>
      <c r="K868" s="2" t="s">
        <v>1190</v>
      </c>
      <c r="L868" s="28" t="s">
        <v>1193</v>
      </c>
      <c r="M868" s="20" t="s">
        <v>1194</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7" hidden="1" customHeight="1">
      <c r="B869" s="2" t="s">
        <v>26</v>
      </c>
      <c r="C869" s="2" t="s">
        <v>181</v>
      </c>
      <c r="D869" s="2" t="s">
        <v>1230</v>
      </c>
      <c r="E869" s="2" t="s">
        <v>38</v>
      </c>
      <c r="F869" s="2" t="s">
        <v>2154</v>
      </c>
      <c r="G869" s="2" t="s">
        <v>197</v>
      </c>
      <c r="H869" s="56" t="str">
        <f>Table1[[#This Row],[Tabela]]&amp;Table1[[#This Row],[Campo]]</f>
        <v>modesg_param_sfics_taxon_europeiadscrc</v>
      </c>
      <c r="I869" s="2" t="s">
        <v>614</v>
      </c>
      <c r="J869" s="54">
        <f>VLOOKUP(Table1[[#This Row],[Status]],Auxiliar!$B$16:$C$24,2,0)</f>
        <v>5</v>
      </c>
      <c r="K869" s="2" t="s">
        <v>1190</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7" hidden="1" customHeight="1">
      <c r="B870" s="2" t="s">
        <v>26</v>
      </c>
      <c r="C870" s="2" t="s">
        <v>181</v>
      </c>
      <c r="D870" s="2" t="s">
        <v>1230</v>
      </c>
      <c r="E870" s="2" t="s">
        <v>38</v>
      </c>
      <c r="F870" s="2" t="s">
        <v>2154</v>
      </c>
      <c r="G870" s="2" t="s">
        <v>192</v>
      </c>
      <c r="H870" s="56" t="str">
        <f>Table1[[#This Row],[Tabela]]&amp;Table1[[#This Row],[Campo]]</f>
        <v>modesg_param_sfics_taxon_europeiacomite</v>
      </c>
      <c r="I870" s="2" t="s">
        <v>614</v>
      </c>
      <c r="J870" s="54">
        <f>VLOOKUP(Table1[[#This Row],[Status]],Auxiliar!$B$16:$C$24,2,0)</f>
        <v>5</v>
      </c>
      <c r="K870" s="2" t="s">
        <v>1190</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7" hidden="1" customHeight="1">
      <c r="B871" s="2" t="s">
        <v>26</v>
      </c>
      <c r="C871" s="2" t="s">
        <v>181</v>
      </c>
      <c r="D871" s="2" t="s">
        <v>1230</v>
      </c>
      <c r="E871" s="2" t="s">
        <v>38</v>
      </c>
      <c r="F871" s="2" t="s">
        <v>2154</v>
      </c>
      <c r="G871" s="2" t="s">
        <v>193</v>
      </c>
      <c r="H871" s="56" t="str">
        <f>Table1[[#This Row],[Tabela]]&amp;Table1[[#This Row],[Campo]]</f>
        <v>modesg_param_sfics_taxon_europeiadata_aprvc</v>
      </c>
      <c r="I871" s="2" t="s">
        <v>614</v>
      </c>
      <c r="J871" s="54">
        <f>VLOOKUP(Table1[[#This Row],[Status]],Auxiliar!$B$16:$C$24,2,0)</f>
        <v>5</v>
      </c>
      <c r="K871" s="2" t="s">
        <v>1190</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7" hidden="1" customHeight="1">
      <c r="B872" s="2" t="s">
        <v>26</v>
      </c>
      <c r="C872" s="2" t="s">
        <v>181</v>
      </c>
      <c r="D872" s="2" t="s">
        <v>1230</v>
      </c>
      <c r="E872" s="2" t="s">
        <v>38</v>
      </c>
      <c r="F872" s="2" t="s">
        <v>2154</v>
      </c>
      <c r="G872" s="2" t="s">
        <v>195</v>
      </c>
      <c r="H872" s="56" t="str">
        <f>Table1[[#This Row],[Tabela]]&amp;Table1[[#This Row],[Campo]]</f>
        <v>modesg_param_sfics_taxon_europeiadata_inicial</v>
      </c>
      <c r="I872" s="2" t="s">
        <v>614</v>
      </c>
      <c r="J872" s="54">
        <f>VLOOKUP(Table1[[#This Row],[Status]],Auxiliar!$B$16:$C$24,2,0)</f>
        <v>5</v>
      </c>
      <c r="K872" s="2" t="s">
        <v>1190</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7" hidden="1" customHeight="1">
      <c r="B873" s="2" t="s">
        <v>26</v>
      </c>
      <c r="C873" s="2" t="s">
        <v>181</v>
      </c>
      <c r="D873" s="2" t="s">
        <v>1230</v>
      </c>
      <c r="E873" s="2" t="s">
        <v>38</v>
      </c>
      <c r="F873" s="2" t="s">
        <v>2154</v>
      </c>
      <c r="G873" s="2" t="s">
        <v>194</v>
      </c>
      <c r="H873" s="56" t="str">
        <f>Table1[[#This Row],[Tabela]]&amp;Table1[[#This Row],[Campo]]</f>
        <v>modesg_param_sfics_taxon_europeiadata_final</v>
      </c>
      <c r="I873" s="2" t="s">
        <v>614</v>
      </c>
      <c r="J873" s="54">
        <f>VLOOKUP(Table1[[#This Row],[Status]],Auxiliar!$B$16:$C$24,2,0)</f>
        <v>5</v>
      </c>
      <c r="K873" s="2" t="s">
        <v>1190</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7" hidden="1" customHeight="1">
      <c r="B874" s="2" t="s">
        <v>26</v>
      </c>
      <c r="C874" s="2" t="s">
        <v>181</v>
      </c>
      <c r="D874" s="2" t="s">
        <v>1230</v>
      </c>
      <c r="E874" s="2" t="s">
        <v>38</v>
      </c>
      <c r="F874" s="2" t="s">
        <v>2154</v>
      </c>
      <c r="G874" s="2" t="s">
        <v>209</v>
      </c>
      <c r="H874" s="56" t="str">
        <f>Table1[[#This Row],[Tabela]]&amp;Table1[[#This Row],[Campo]]</f>
        <v>modesg_param_sfics_taxon_europeiazcliente</v>
      </c>
      <c r="I874" s="2" t="s">
        <v>614</v>
      </c>
      <c r="J874" s="54">
        <f>VLOOKUP(Table1[[#This Row],[Status]],Auxiliar!$B$16:$C$24,2,0)</f>
        <v>5</v>
      </c>
      <c r="K874" s="2" t="s">
        <v>1190</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7" hidden="1" customHeight="1">
      <c r="B875" s="2" t="s">
        <v>26</v>
      </c>
      <c r="C875" s="2" t="s">
        <v>181</v>
      </c>
      <c r="D875" s="2" t="s">
        <v>1230</v>
      </c>
      <c r="E875" s="2" t="s">
        <v>38</v>
      </c>
      <c r="F875" s="2" t="s">
        <v>2154</v>
      </c>
      <c r="G875" s="2" t="s">
        <v>394</v>
      </c>
      <c r="H875" s="56" t="str">
        <f>Table1[[#This Row],[Tabela]]&amp;Table1[[#This Row],[Campo]]</f>
        <v>modesg_param_sfics_taxon_europeiacontraparte</v>
      </c>
      <c r="I875" s="2" t="s">
        <v>614</v>
      </c>
      <c r="J875" s="54">
        <f>VLOOKUP(Table1[[#This Row],[Status]],Auxiliar!$B$16:$C$24,2,0)</f>
        <v>5</v>
      </c>
      <c r="K875" s="2" t="s">
        <v>1190</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7" hidden="1" customHeight="1">
      <c r="B876" s="2" t="s">
        <v>26</v>
      </c>
      <c r="C876" s="2" t="s">
        <v>181</v>
      </c>
      <c r="D876" s="2" t="s">
        <v>1230</v>
      </c>
      <c r="E876" s="2" t="s">
        <v>38</v>
      </c>
      <c r="F876" s="2" t="s">
        <v>2154</v>
      </c>
      <c r="G876" s="2" t="s">
        <v>184</v>
      </c>
      <c r="H876" s="56" t="str">
        <f>Table1[[#This Row],[Tabela]]&amp;Table1[[#This Row],[Campo]]</f>
        <v>modesg_param_sfics_taxon_europeiacempresa</v>
      </c>
      <c r="I876" s="2" t="s">
        <v>614</v>
      </c>
      <c r="J876" s="54">
        <f>VLOOKUP(Table1[[#This Row],[Status]],Auxiliar!$B$16:$C$24,2,0)</f>
        <v>5</v>
      </c>
      <c r="K876" s="2" t="s">
        <v>1190</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7" hidden="1" customHeight="1">
      <c r="B877" s="2" t="s">
        <v>26</v>
      </c>
      <c r="C877" s="2" t="s">
        <v>181</v>
      </c>
      <c r="D877" s="2" t="s">
        <v>1230</v>
      </c>
      <c r="E877" s="2" t="s">
        <v>38</v>
      </c>
      <c r="F877" s="2" t="s">
        <v>2154</v>
      </c>
      <c r="G877" s="2" t="s">
        <v>183</v>
      </c>
      <c r="H877" s="56" t="str">
        <f>Table1[[#This Row],[Tabela]]&amp;Table1[[#This Row],[Campo]]</f>
        <v>modesg_param_sfics_taxon_europeiacbalcao</v>
      </c>
      <c r="I877" s="2" t="s">
        <v>614</v>
      </c>
      <c r="J877" s="54">
        <f>VLOOKUP(Table1[[#This Row],[Status]],Auxiliar!$B$16:$C$24,2,0)</f>
        <v>5</v>
      </c>
      <c r="K877" s="2" t="s">
        <v>1190</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7" hidden="1" customHeight="1">
      <c r="B878" s="2" t="s">
        <v>26</v>
      </c>
      <c r="C878" s="2" t="s">
        <v>181</v>
      </c>
      <c r="D878" s="2" t="s">
        <v>1230</v>
      </c>
      <c r="E878" s="2" t="s">
        <v>38</v>
      </c>
      <c r="F878" s="2" t="s">
        <v>2154</v>
      </c>
      <c r="G878" s="2" t="s">
        <v>189</v>
      </c>
      <c r="H878" s="56" t="str">
        <f>Table1[[#This Row],[Tabela]]&amp;Table1[[#This Row],[Campo]]</f>
        <v>modesg_param_sfics_taxon_europeiacnumecta</v>
      </c>
      <c r="I878" s="2" t="s">
        <v>614</v>
      </c>
      <c r="J878" s="54">
        <f>VLOOKUP(Table1[[#This Row],[Status]],Auxiliar!$B$16:$C$24,2,0)</f>
        <v>5</v>
      </c>
      <c r="K878" s="2" t="s">
        <v>1190</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7" hidden="1" customHeight="1">
      <c r="B879" s="2" t="s">
        <v>26</v>
      </c>
      <c r="C879" s="2" t="s">
        <v>181</v>
      </c>
      <c r="D879" s="2" t="s">
        <v>1230</v>
      </c>
      <c r="E879" s="2" t="s">
        <v>38</v>
      </c>
      <c r="F879" s="2" t="s">
        <v>2154</v>
      </c>
      <c r="G879" s="2" t="s">
        <v>210</v>
      </c>
      <c r="H879" s="56" t="str">
        <f>Table1[[#This Row],[Tabela]]&amp;Table1[[#This Row],[Campo]]</f>
        <v>modesg_param_sfics_taxon_europeiazdeposit</v>
      </c>
      <c r="I879" s="2" t="s">
        <v>614</v>
      </c>
      <c r="J879" s="54">
        <f>VLOOKUP(Table1[[#This Row],[Status]],Auxiliar!$B$16:$C$24,2,0)</f>
        <v>5</v>
      </c>
      <c r="K879" s="2" t="s">
        <v>1190</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7" hidden="1" customHeight="1">
      <c r="B880" s="2" t="s">
        <v>26</v>
      </c>
      <c r="C880" s="2" t="s">
        <v>181</v>
      </c>
      <c r="D880" s="2" t="s">
        <v>1230</v>
      </c>
      <c r="E880" s="2" t="s">
        <v>38</v>
      </c>
      <c r="F880" s="2" t="s">
        <v>2154</v>
      </c>
      <c r="G880" s="2" t="s">
        <v>185</v>
      </c>
      <c r="H880" s="56" t="str">
        <f>Table1[[#This Row],[Tabela]]&amp;Table1[[#This Row],[Campo]]</f>
        <v>modesg_param_sfics_taxon_europeiackmetamis</v>
      </c>
      <c r="I880" s="2" t="s">
        <v>614</v>
      </c>
      <c r="J880" s="54">
        <f>VLOOKUP(Table1[[#This Row],[Status]],Auxiliar!$B$16:$C$24,2,0)</f>
        <v>5</v>
      </c>
      <c r="K880" s="2" t="s">
        <v>1190</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7" hidden="1" customHeight="1">
      <c r="B881" s="2" t="s">
        <v>26</v>
      </c>
      <c r="C881" s="2" t="s">
        <v>181</v>
      </c>
      <c r="D881" s="2" t="s">
        <v>1230</v>
      </c>
      <c r="E881" s="2" t="s">
        <v>38</v>
      </c>
      <c r="F881" s="2" t="s">
        <v>2154</v>
      </c>
      <c r="G881" s="2" t="s">
        <v>186</v>
      </c>
      <c r="H881" s="56" t="str">
        <f>Table1[[#This Row],[Tabela]]&amp;Table1[[#This Row],[Campo]]</f>
        <v>modesg_param_sfics_taxon_europeiackprodmi</v>
      </c>
      <c r="I881" s="2" t="s">
        <v>614</v>
      </c>
      <c r="J881" s="54">
        <f>VLOOKUP(Table1[[#This Row],[Status]],Auxiliar!$B$16:$C$24,2,0)</f>
        <v>5</v>
      </c>
      <c r="K881" s="2" t="s">
        <v>1190</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7" hidden="1" customHeight="1">
      <c r="B882" s="2" t="s">
        <v>26</v>
      </c>
      <c r="C882" s="2" t="s">
        <v>181</v>
      </c>
      <c r="D882" s="2" t="s">
        <v>1230</v>
      </c>
      <c r="E882" s="2" t="s">
        <v>38</v>
      </c>
      <c r="F882" s="2" t="s">
        <v>2154</v>
      </c>
      <c r="G882" s="2" t="s">
        <v>2102</v>
      </c>
      <c r="H882" s="56" t="str">
        <f>Table1[[#This Row],[Tabela]]&amp;Table1[[#This Row],[Campo]]</f>
        <v>modesg_param_sfics_taxon_europeiaprdt_sprdt</v>
      </c>
      <c r="I882" s="2" t="s">
        <v>614</v>
      </c>
      <c r="J882" s="54">
        <f>VLOOKUP(Table1[[#This Row],[Status]],Auxiliar!$B$16:$C$24,2,0)</f>
        <v>5</v>
      </c>
      <c r="K882" s="2" t="s">
        <v>1190</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7" hidden="1" customHeight="1">
      <c r="B883" s="2" t="s">
        <v>26</v>
      </c>
      <c r="C883" s="2" t="s">
        <v>181</v>
      </c>
      <c r="D883" s="2" t="s">
        <v>1230</v>
      </c>
      <c r="E883" s="2" t="s">
        <v>38</v>
      </c>
      <c r="F883" s="2" t="s">
        <v>2154</v>
      </c>
      <c r="G883" s="2" t="s">
        <v>187</v>
      </c>
      <c r="H883" s="56" t="str">
        <f>Table1[[#This Row],[Tabela]]&amp;Table1[[#This Row],[Campo]]</f>
        <v>modesg_param_sfics_taxon_europeiacmetanseg</v>
      </c>
      <c r="I883" s="2" t="s">
        <v>614</v>
      </c>
      <c r="J883" s="54">
        <f>VLOOKUP(Table1[[#This Row],[Status]],Auxiliar!$B$16:$C$24,2,0)</f>
        <v>5</v>
      </c>
      <c r="K883" s="2" t="s">
        <v>1190</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7" hidden="1" customHeight="1">
      <c r="B884" s="2" t="s">
        <v>26</v>
      </c>
      <c r="C884" s="2" t="s">
        <v>181</v>
      </c>
      <c r="D884" s="2" t="s">
        <v>1230</v>
      </c>
      <c r="E884" s="2" t="s">
        <v>38</v>
      </c>
      <c r="F884" s="2" t="s">
        <v>2154</v>
      </c>
      <c r="G884" s="2" t="s">
        <v>198</v>
      </c>
      <c r="H884" s="56" t="str">
        <f>Table1[[#This Row],[Tabela]]&amp;Table1[[#This Row],[Campo]]</f>
        <v>modesg_param_sfics_taxon_europeiaepc</v>
      </c>
      <c r="I884" s="2" t="s">
        <v>614</v>
      </c>
      <c r="J884" s="54">
        <f>VLOOKUP(Table1[[#This Row],[Status]],Auxiliar!$B$16:$C$24,2,0)</f>
        <v>5</v>
      </c>
      <c r="K884" s="2" t="s">
        <v>1190</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7" hidden="1" customHeight="1">
      <c r="B885" s="2" t="s">
        <v>26</v>
      </c>
      <c r="C885" s="2" t="s">
        <v>181</v>
      </c>
      <c r="D885" s="2" t="s">
        <v>1230</v>
      </c>
      <c r="E885" s="2" t="s">
        <v>38</v>
      </c>
      <c r="F885" s="2" t="s">
        <v>2154</v>
      </c>
      <c r="G885" s="2" t="s">
        <v>2111</v>
      </c>
      <c r="H885" s="56" t="str">
        <f>Table1[[#This Row],[Tabela]]&amp;Table1[[#This Row],[Campo]]</f>
        <v>modesg_param_sfics_taxon_europeiaquality_score</v>
      </c>
      <c r="I885" s="2" t="s">
        <v>614</v>
      </c>
      <c r="J885" s="54">
        <f>VLOOKUP(Table1[[#This Row],[Status]],Auxiliar!$B$16:$C$24,2,0)</f>
        <v>5</v>
      </c>
      <c r="K885" s="2" t="s">
        <v>1190</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7" hidden="1" customHeight="1">
      <c r="B886" s="2" t="s">
        <v>26</v>
      </c>
      <c r="C886" s="2" t="s">
        <v>181</v>
      </c>
      <c r="D886" s="2" t="s">
        <v>1230</v>
      </c>
      <c r="E886" s="2" t="s">
        <v>38</v>
      </c>
      <c r="F886" s="2" t="s">
        <v>2154</v>
      </c>
      <c r="G886" s="2" t="s">
        <v>2112</v>
      </c>
      <c r="H886" s="56" t="str">
        <f>Table1[[#This Row],[Tabela]]&amp;Table1[[#This Row],[Campo]]</f>
        <v>modesg_param_sfics_taxon_europeianzeb</v>
      </c>
      <c r="I886" s="2" t="s">
        <v>614</v>
      </c>
      <c r="J886" s="54">
        <f>VLOOKUP(Table1[[#This Row],[Status]],Auxiliar!$B$16:$C$24,2,0)</f>
        <v>5</v>
      </c>
      <c r="K886" s="2" t="s">
        <v>1190</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7" hidden="1" customHeight="1">
      <c r="B887" s="2" t="s">
        <v>26</v>
      </c>
      <c r="C887" s="2" t="s">
        <v>181</v>
      </c>
      <c r="D887" s="2" t="s">
        <v>1230</v>
      </c>
      <c r="E887" s="2" t="s">
        <v>38</v>
      </c>
      <c r="F887" s="2" t="s">
        <v>2154</v>
      </c>
      <c r="G887" s="2" t="s">
        <v>2113</v>
      </c>
      <c r="H887" s="56" t="str">
        <f>Table1[[#This Row],[Tabela]]&amp;Table1[[#This Row],[Campo]]</f>
        <v>modesg_param_sfics_taxon_europeiaRIEE</v>
      </c>
      <c r="I887" s="2" t="s">
        <v>614</v>
      </c>
      <c r="J887" s="54">
        <f>VLOOKUP(Table1[[#This Row],[Status]],Auxiliar!$B$16:$C$24,2,0)</f>
        <v>5</v>
      </c>
      <c r="K887" s="2" t="s">
        <v>1190</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7" hidden="1" customHeight="1">
      <c r="B888" s="2" t="s">
        <v>26</v>
      </c>
      <c r="C888" s="2" t="s">
        <v>181</v>
      </c>
      <c r="D888" s="2" t="s">
        <v>1230</v>
      </c>
      <c r="E888" s="2" t="s">
        <v>38</v>
      </c>
      <c r="F888" s="2" t="s">
        <v>2154</v>
      </c>
      <c r="G888" s="2" t="s">
        <v>2114</v>
      </c>
      <c r="H888" s="56" t="str">
        <f>Table1[[#This Row],[Tabela]]&amp;Table1[[#This Row],[Campo]]</f>
        <v>modesg_param_sfics_taxon_europeiaRNT</v>
      </c>
      <c r="I888" s="2" t="s">
        <v>614</v>
      </c>
      <c r="J888" s="54">
        <f>VLOOKUP(Table1[[#This Row],[Status]],Auxiliar!$B$16:$C$24,2,0)</f>
        <v>5</v>
      </c>
      <c r="K888" s="2" t="s">
        <v>1190</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7" hidden="1" customHeight="1">
      <c r="B889" s="2" t="s">
        <v>26</v>
      </c>
      <c r="C889" s="2" t="s">
        <v>181</v>
      </c>
      <c r="D889" s="2" t="s">
        <v>1230</v>
      </c>
      <c r="E889" s="2" t="s">
        <v>38</v>
      </c>
      <c r="F889" s="2" t="s">
        <v>2154</v>
      </c>
      <c r="G889" s="2" t="s">
        <v>283</v>
      </c>
      <c r="H889" s="56" t="str">
        <f>Table1[[#This Row],[Tabela]]&amp;Table1[[#This Row],[Campo]]</f>
        <v>modesg_param_sfics_taxon_europeiaflg_rsc_fsc_crnc</v>
      </c>
      <c r="I889" s="2" t="s">
        <v>614</v>
      </c>
      <c r="J889" s="54">
        <f>VLOOKUP(Table1[[#This Row],[Status]],Auxiliar!$B$16:$C$24,2,0)</f>
        <v>5</v>
      </c>
      <c r="K889" s="2" t="s">
        <v>1190</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7" hidden="1" customHeight="1">
      <c r="B890" s="2" t="s">
        <v>26</v>
      </c>
      <c r="C890" s="2" t="s">
        <v>181</v>
      </c>
      <c r="D890" s="2" t="s">
        <v>1230</v>
      </c>
      <c r="E890" s="2" t="s">
        <v>38</v>
      </c>
      <c r="F890" s="2" t="s">
        <v>2154</v>
      </c>
      <c r="G890" s="2" t="s">
        <v>282</v>
      </c>
      <c r="H890" s="56" t="str">
        <f>Table1[[#This Row],[Tabela]]&amp;Table1[[#This Row],[Campo]]</f>
        <v>modesg_param_sfics_taxon_europeiaflg_rsc_fsc_agd</v>
      </c>
      <c r="I890" s="2" t="s">
        <v>614</v>
      </c>
      <c r="J890" s="54">
        <f>VLOOKUP(Table1[[#This Row],[Status]],Auxiliar!$B$16:$C$24,2,0)</f>
        <v>5</v>
      </c>
      <c r="K890" s="2" t="s">
        <v>1190</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7" hidden="1" customHeight="1">
      <c r="B891" s="2" t="s">
        <v>26</v>
      </c>
      <c r="C891" s="2" t="s">
        <v>181</v>
      </c>
      <c r="D891" s="2" t="s">
        <v>1230</v>
      </c>
      <c r="E891" s="2" t="s">
        <v>38</v>
      </c>
      <c r="F891" s="2" t="s">
        <v>2154</v>
      </c>
      <c r="G891" s="2" t="s">
        <v>2110</v>
      </c>
      <c r="H891" s="56" t="str">
        <f>Table1[[#This Row],[Tabela]]&amp;Table1[[#This Row],[Campo]]</f>
        <v>modesg_param_sfics_taxon_europeiaconstruction_year</v>
      </c>
      <c r="I891" s="2" t="s">
        <v>614</v>
      </c>
      <c r="J891" s="54">
        <f>VLOOKUP(Table1[[#This Row],[Status]],Auxiliar!$B$16:$C$24,2,0)</f>
        <v>5</v>
      </c>
      <c r="K891" s="2" t="s">
        <v>1190</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7" hidden="1" customHeight="1">
      <c r="B892" s="2" t="s">
        <v>26</v>
      </c>
      <c r="C892" s="2" t="s">
        <v>181</v>
      </c>
      <c r="D892" s="2" t="s">
        <v>1230</v>
      </c>
      <c r="E892" s="2" t="s">
        <v>38</v>
      </c>
      <c r="F892" s="2" t="s">
        <v>2154</v>
      </c>
      <c r="G892" s="2" t="s">
        <v>2107</v>
      </c>
      <c r="H892" s="56" t="str">
        <f>Table1[[#This Row],[Tabela]]&amp;Table1[[#This Row],[Campo]]</f>
        <v>modesg_param_sfics_taxon_europeiaproperty_purpose_code</v>
      </c>
      <c r="I892" s="2" t="s">
        <v>614</v>
      </c>
      <c r="J892" s="54">
        <f>VLOOKUP(Table1[[#This Row],[Status]],Auxiliar!$B$16:$C$24,2,0)</f>
        <v>5</v>
      </c>
      <c r="K892" s="2" t="s">
        <v>1190</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7" hidden="1" customHeight="1">
      <c r="B893" s="2" t="s">
        <v>26</v>
      </c>
      <c r="C893" s="2" t="s">
        <v>181</v>
      </c>
      <c r="D893" s="2" t="s">
        <v>1230</v>
      </c>
      <c r="E893" s="2" t="s">
        <v>38</v>
      </c>
      <c r="F893" s="2" t="s">
        <v>2154</v>
      </c>
      <c r="G893" s="2" t="s">
        <v>2106</v>
      </c>
      <c r="H893" s="56" t="str">
        <f>Table1[[#This Row],[Tabela]]&amp;Table1[[#This Row],[Campo]]</f>
        <v>modesg_param_sfics_taxon_europeiacfamilia</v>
      </c>
      <c r="I893" s="2" t="s">
        <v>614</v>
      </c>
      <c r="J893" s="54">
        <f>VLOOKUP(Table1[[#This Row],[Status]],Auxiliar!$B$16:$C$24,2,0)</f>
        <v>5</v>
      </c>
      <c r="K893" s="2" t="s">
        <v>1190</v>
      </c>
      <c r="L893" s="28" t="s">
        <v>1193</v>
      </c>
      <c r="M893" s="20" t="s">
        <v>1194</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7" hidden="1" customHeight="1">
      <c r="B894" s="2" t="s">
        <v>26</v>
      </c>
      <c r="C894" s="2" t="s">
        <v>181</v>
      </c>
      <c r="D894" s="2" t="s">
        <v>1230</v>
      </c>
      <c r="E894" s="2" t="s">
        <v>38</v>
      </c>
      <c r="F894" s="2" t="s">
        <v>2154</v>
      </c>
      <c r="G894" s="2" t="s">
        <v>200</v>
      </c>
      <c r="H894" s="56" t="str">
        <f>Table1[[#This Row],[Tabela]]&amp;Table1[[#This Row],[Campo]]</f>
        <v>modesg_param_sfics_taxon_europeiacfinalidad</v>
      </c>
      <c r="I894" s="2" t="s">
        <v>614</v>
      </c>
      <c r="J894" s="54">
        <f>VLOOKUP(Table1[[#This Row],[Status]],Auxiliar!$B$16:$C$24,2,0)</f>
        <v>5</v>
      </c>
      <c r="K894" s="2" t="s">
        <v>1190</v>
      </c>
      <c r="L894" s="28" t="s">
        <v>1193</v>
      </c>
      <c r="M894" s="20" t="s">
        <v>1194</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7" hidden="1" customHeight="1">
      <c r="B895" s="2" t="s">
        <v>26</v>
      </c>
      <c r="C895" s="2" t="s">
        <v>181</v>
      </c>
      <c r="D895" s="2" t="s">
        <v>1230</v>
      </c>
      <c r="E895" s="2" t="s">
        <v>38</v>
      </c>
      <c r="F895" s="2" t="s">
        <v>2154</v>
      </c>
      <c r="G895" s="2" t="s">
        <v>199</v>
      </c>
      <c r="H895" s="56" t="str">
        <f>Table1[[#This Row],[Tabela]]&amp;Table1[[#This Row],[Campo]]</f>
        <v>modesg_param_sfics_taxon_europeiaflag_project_finance</v>
      </c>
      <c r="I895" s="2" t="s">
        <v>614</v>
      </c>
      <c r="J895" s="54">
        <f>VLOOKUP(Table1[[#This Row],[Status]],Auxiliar!$B$16:$C$24,2,0)</f>
        <v>5</v>
      </c>
      <c r="K895" s="2" t="s">
        <v>1190</v>
      </c>
      <c r="L895" s="28" t="s">
        <v>1193</v>
      </c>
      <c r="M895" s="20" t="s">
        <v>1194</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7" hidden="1" customHeight="1">
      <c r="B896" s="2" t="s">
        <v>26</v>
      </c>
      <c r="C896" s="2" t="s">
        <v>181</v>
      </c>
      <c r="D896" s="2" t="s">
        <v>1230</v>
      </c>
      <c r="E896" s="2" t="s">
        <v>38</v>
      </c>
      <c r="F896" s="2" t="s">
        <v>2154</v>
      </c>
      <c r="G896" s="2" t="s">
        <v>2109</v>
      </c>
      <c r="H896" s="56" t="str">
        <f>Table1[[#This Row],[Tabela]]&amp;Table1[[#This Row],[Campo]]</f>
        <v>modesg_param_sfics_taxon_europeiatipo_eqp</v>
      </c>
      <c r="I896" s="2" t="s">
        <v>614</v>
      </c>
      <c r="J896" s="54">
        <f>VLOOKUP(Table1[[#This Row],[Status]],Auxiliar!$B$16:$C$24,2,0)</f>
        <v>5</v>
      </c>
      <c r="K896" s="2" t="s">
        <v>1190</v>
      </c>
      <c r="L896" s="28" t="s">
        <v>1193</v>
      </c>
      <c r="M896" s="20" t="s">
        <v>1194</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7" hidden="1" customHeight="1">
      <c r="B897" s="2" t="s">
        <v>26</v>
      </c>
      <c r="C897" s="2" t="s">
        <v>181</v>
      </c>
      <c r="D897" s="2" t="s">
        <v>1230</v>
      </c>
      <c r="E897" s="2" t="s">
        <v>38</v>
      </c>
      <c r="F897" s="2" t="s">
        <v>2154</v>
      </c>
      <c r="G897" s="2" t="s">
        <v>2104</v>
      </c>
      <c r="H897" s="56" t="str">
        <f>Table1[[#This Row],[Tabela]]&amp;Table1[[#This Row],[Campo]]</f>
        <v>modesg_param_sfics_taxon_europeiacombustivel</v>
      </c>
      <c r="I897" s="2" t="s">
        <v>614</v>
      </c>
      <c r="J897" s="54">
        <f>VLOOKUP(Table1[[#This Row],[Status]],Auxiliar!$B$16:$C$24,2,0)</f>
        <v>5</v>
      </c>
      <c r="K897" s="2" t="s">
        <v>1190</v>
      </c>
      <c r="L897" s="28" t="s">
        <v>1193</v>
      </c>
      <c r="M897" s="20" t="s">
        <v>1194</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7" hidden="1" customHeight="1">
      <c r="B898" s="2" t="s">
        <v>26</v>
      </c>
      <c r="C898" s="2" t="s">
        <v>181</v>
      </c>
      <c r="D898" s="2" t="s">
        <v>1230</v>
      </c>
      <c r="E898" s="2" t="s">
        <v>38</v>
      </c>
      <c r="F898" s="2" t="s">
        <v>2154</v>
      </c>
      <c r="G898" s="2" t="s">
        <v>2105</v>
      </c>
      <c r="H898" s="56" t="str">
        <f>Table1[[#This Row],[Tabela]]&amp;Table1[[#This Row],[Campo]]</f>
        <v>modesg_param_sfics_taxon_europeiaco2</v>
      </c>
      <c r="I898" s="2" t="s">
        <v>614</v>
      </c>
      <c r="J898" s="54">
        <f>VLOOKUP(Table1[[#This Row],[Status]],Auxiliar!$B$16:$C$24,2,0)</f>
        <v>5</v>
      </c>
      <c r="K898" s="2" t="s">
        <v>1190</v>
      </c>
      <c r="L898" s="28" t="s">
        <v>1193</v>
      </c>
      <c r="M898" s="20" t="s">
        <v>1194</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7" hidden="1" customHeight="1">
      <c r="B899" s="2" t="s">
        <v>26</v>
      </c>
      <c r="C899" s="2" t="s">
        <v>181</v>
      </c>
      <c r="D899" s="2" t="s">
        <v>1230</v>
      </c>
      <c r="E899" s="2" t="s">
        <v>38</v>
      </c>
      <c r="F899" s="2" t="s">
        <v>2154</v>
      </c>
      <c r="G899" s="2" t="s">
        <v>190</v>
      </c>
      <c r="H899" s="56" t="str">
        <f>Table1[[#This Row],[Tabela]]&amp;Table1[[#This Row],[Campo]]</f>
        <v>modesg_param_sfics_taxon_europeiacod_lease</v>
      </c>
      <c r="I899" s="2" t="s">
        <v>614</v>
      </c>
      <c r="J899" s="54">
        <f>VLOOKUP(Table1[[#This Row],[Status]],Auxiliar!$B$16:$C$24,2,0)</f>
        <v>5</v>
      </c>
      <c r="K899" s="2" t="s">
        <v>1190</v>
      </c>
      <c r="L899" s="28" t="s">
        <v>1193</v>
      </c>
      <c r="M899" s="20" t="s">
        <v>1194</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7" hidden="1" customHeight="1">
      <c r="B900" s="2" t="s">
        <v>26</v>
      </c>
      <c r="C900" s="2" t="s">
        <v>181</v>
      </c>
      <c r="D900" s="2" t="s">
        <v>1230</v>
      </c>
      <c r="E900" s="2" t="s">
        <v>38</v>
      </c>
      <c r="F900" s="2" t="s">
        <v>2154</v>
      </c>
      <c r="G900" s="2" t="s">
        <v>2108</v>
      </c>
      <c r="H900" s="56" t="str">
        <f>Table1[[#This Row],[Tabela]]&amp;Table1[[#This Row],[Campo]]</f>
        <v>modesg_param_sfics_taxon_europeiadabertur</v>
      </c>
      <c r="I900" s="2" t="s">
        <v>614</v>
      </c>
      <c r="J900" s="54">
        <f>VLOOKUP(Table1[[#This Row],[Status]],Auxiliar!$B$16:$C$24,2,0)</f>
        <v>5</v>
      </c>
      <c r="K900" s="2" t="s">
        <v>1190</v>
      </c>
      <c r="L900" s="28" t="s">
        <v>1193</v>
      </c>
      <c r="M900" s="20" t="s">
        <v>1194</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7" hidden="1" customHeight="1">
      <c r="B901" s="2" t="s">
        <v>26</v>
      </c>
      <c r="C901" s="2" t="s">
        <v>181</v>
      </c>
      <c r="D901" s="2" t="s">
        <v>1230</v>
      </c>
      <c r="E901" s="2" t="s">
        <v>38</v>
      </c>
      <c r="F901" s="2" t="s">
        <v>2154</v>
      </c>
      <c r="G901" s="2" t="s">
        <v>2103</v>
      </c>
      <c r="H901" s="56" t="str">
        <f>Table1[[#This Row],[Tabela]]&amp;Table1[[#This Row],[Campo]]</f>
        <v>modesg_param_sfics_taxon_europeiaflg_csrd</v>
      </c>
      <c r="I901" s="2" t="s">
        <v>614</v>
      </c>
      <c r="J901" s="54">
        <f>VLOOKUP(Table1[[#This Row],[Status]],Auxiliar!$B$16:$C$24,2,0)</f>
        <v>5</v>
      </c>
      <c r="K901" s="2" t="s">
        <v>1190</v>
      </c>
      <c r="L901" s="28" t="s">
        <v>1193</v>
      </c>
      <c r="M901" s="20" t="s">
        <v>1194</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7" hidden="1" customHeight="1">
      <c r="B902" s="2" t="s">
        <v>26</v>
      </c>
      <c r="C902" s="2" t="s">
        <v>181</v>
      </c>
      <c r="D902" s="2" t="s">
        <v>1230</v>
      </c>
      <c r="E902" s="2" t="s">
        <v>38</v>
      </c>
      <c r="F902" s="2" t="s">
        <v>2154</v>
      </c>
      <c r="G902" s="2" t="s">
        <v>2101</v>
      </c>
      <c r="H902" s="56" t="str">
        <f>Table1[[#This Row],[Tabela]]&amp;Table1[[#This Row],[Campo]]</f>
        <v>modesg_param_sfics_taxon_europeianome_ctgr_sfics</v>
      </c>
      <c r="I902" s="2" t="s">
        <v>614</v>
      </c>
      <c r="J902" s="54">
        <f>VLOOKUP(Table1[[#This Row],[Status]],Auxiliar!$B$16:$C$24,2,0)</f>
        <v>5</v>
      </c>
      <c r="K902" s="2" t="s">
        <v>1190</v>
      </c>
      <c r="L902" s="28" t="s">
        <v>1193</v>
      </c>
      <c r="M902" s="20" t="s">
        <v>1194</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7" hidden="1" customHeight="1">
      <c r="B903" s="2" t="s">
        <v>26</v>
      </c>
      <c r="C903" s="2" t="s">
        <v>181</v>
      </c>
      <c r="D903" s="2" t="s">
        <v>1230</v>
      </c>
      <c r="E903" s="2" t="s">
        <v>38</v>
      </c>
      <c r="F903" s="2" t="s">
        <v>2154</v>
      </c>
      <c r="G903" s="2" t="s">
        <v>202</v>
      </c>
      <c r="H903" s="56" t="str">
        <f>Table1[[#This Row],[Tabela]]&amp;Table1[[#This Row],[Campo]]</f>
        <v>modesg_param_sfics_taxon_europeiamontante_pndrc</v>
      </c>
      <c r="I903" s="2" t="s">
        <v>614</v>
      </c>
      <c r="J903" s="54">
        <f>VLOOKUP(Table1[[#This Row],[Status]],Auxiliar!$B$16:$C$24,2,0)</f>
        <v>5</v>
      </c>
      <c r="K903" s="2" t="s">
        <v>1190</v>
      </c>
      <c r="L903" s="28" t="s">
        <v>1193</v>
      </c>
      <c r="M903" s="20" t="s">
        <v>1194</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7" hidden="1" customHeight="1">
      <c r="B904" s="2" t="s">
        <v>26</v>
      </c>
      <c r="C904" s="2" t="s">
        <v>181</v>
      </c>
      <c r="D904" s="2" t="s">
        <v>1230</v>
      </c>
      <c r="E904" s="2" t="s">
        <v>38</v>
      </c>
      <c r="F904" s="2" t="s">
        <v>2154</v>
      </c>
      <c r="G904" s="2" t="s">
        <v>2115</v>
      </c>
      <c r="H904" s="56" t="str">
        <f>Table1[[#This Row],[Tabela]]&amp;Table1[[#This Row],[Campo]]</f>
        <v>modesg_param_sfics_taxon_europeianome_purpose_esg_alinh_tax</v>
      </c>
      <c r="I904" s="2" t="s">
        <v>614</v>
      </c>
      <c r="J904" s="54">
        <f>VLOOKUP(Table1[[#This Row],[Status]],Auxiliar!$B$16:$C$24,2,0)</f>
        <v>5</v>
      </c>
      <c r="K904" s="2" t="s">
        <v>1190</v>
      </c>
      <c r="L904" s="28" t="s">
        <v>1193</v>
      </c>
      <c r="M904" s="20" t="s">
        <v>1194</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7" hidden="1" customHeight="1">
      <c r="B905" s="2" t="s">
        <v>26</v>
      </c>
      <c r="C905" s="2" t="s">
        <v>181</v>
      </c>
      <c r="D905" s="2" t="s">
        <v>1230</v>
      </c>
      <c r="E905" s="2" t="s">
        <v>38</v>
      </c>
      <c r="F905" s="2" t="s">
        <v>2154</v>
      </c>
      <c r="G905" s="2" t="s">
        <v>2116</v>
      </c>
      <c r="H905" s="56" t="str">
        <f>Table1[[#This Row],[Tabela]]&amp;Table1[[#This Row],[Campo]]</f>
        <v>modesg_param_sfics_taxon_europeianome_purpose_esg_nalinh_tax</v>
      </c>
      <c r="I905" s="2" t="s">
        <v>614</v>
      </c>
      <c r="J905" s="53">
        <f>VLOOKUP(Table1[[#This Row],[Status]],Auxiliar!$B$16:$C$24,2,0)</f>
        <v>5</v>
      </c>
      <c r="K905" s="2" t="s">
        <v>1190</v>
      </c>
      <c r="L905" s="28" t="s">
        <v>1193</v>
      </c>
      <c r="M905" s="20" t="s">
        <v>1194</v>
      </c>
      <c r="N905" s="47">
        <v>45688</v>
      </c>
      <c r="O905" s="20">
        <f>INDEX(Auxiliar!$D$5:$F$13,MATCH(Table1[[#This Row],[Tipologia_Testes]],Auxiliar!$B$5:$B$13,0),MATCH(Table1[[#This Row],[Complexidade]],Auxiliar!$D$4:$F$4,0))</f>
        <v>0.1</v>
      </c>
      <c r="P905" s="2" t="s">
        <v>1213</v>
      </c>
      <c r="Q905" s="2"/>
      <c r="R905" s="151">
        <v>45561</v>
      </c>
      <c r="S905" s="151"/>
      <c r="T905" s="151">
        <v>45561</v>
      </c>
      <c r="U905" s="151"/>
      <c r="V905" s="151"/>
      <c r="W905" s="2">
        <f>VLOOKUP(Table1[[#This Row],[Status]],Auxiliar!$B$16:$D$24,3,0)*Table1[[#This Row],[Estimação (horas)]]</f>
        <v>2.5000000000000001E-2</v>
      </c>
      <c r="X905" s="2"/>
    </row>
    <row r="906" spans="2:24" ht="17.7" hidden="1" customHeight="1">
      <c r="B906" s="2" t="s">
        <v>26</v>
      </c>
      <c r="C906" s="2" t="s">
        <v>181</v>
      </c>
      <c r="D906" s="2" t="s">
        <v>1230</v>
      </c>
      <c r="E906" s="2" t="s">
        <v>38</v>
      </c>
      <c r="F906" s="2" t="s">
        <v>2154</v>
      </c>
      <c r="G906" s="2" t="s">
        <v>204</v>
      </c>
      <c r="H906" s="56" t="str">
        <f>Table1[[#This Row],[Tabela]]&amp;Table1[[#This Row],[Campo]]</f>
        <v>modesg_param_sfics_taxon_europeianome_general_specific_purpose</v>
      </c>
      <c r="I906" s="2" t="s">
        <v>614</v>
      </c>
      <c r="J906" s="53">
        <f>VLOOKUP(Table1[[#This Row],[Status]],Auxiliar!$B$16:$C$24,2,0)</f>
        <v>5</v>
      </c>
      <c r="K906" s="2" t="s">
        <v>1190</v>
      </c>
      <c r="L906" s="28" t="s">
        <v>1193</v>
      </c>
      <c r="M906" s="20" t="s">
        <v>1194</v>
      </c>
      <c r="N906" s="47">
        <v>45688</v>
      </c>
      <c r="O906" s="20">
        <f>INDEX(Auxiliar!$D$5:$F$13,MATCH(Table1[[#This Row],[Tipologia_Testes]],Auxiliar!$B$5:$B$13,0),MATCH(Table1[[#This Row],[Complexidade]],Auxiliar!$D$4:$F$4,0))</f>
        <v>0.1</v>
      </c>
      <c r="P906" s="2" t="s">
        <v>1213</v>
      </c>
      <c r="Q906" s="2"/>
      <c r="R906" s="151">
        <v>45561</v>
      </c>
      <c r="S906" s="151"/>
      <c r="T906" s="151">
        <v>45561</v>
      </c>
      <c r="U906" s="151"/>
      <c r="V906" s="151"/>
      <c r="W906" s="2">
        <f>VLOOKUP(Table1[[#This Row],[Status]],Auxiliar!$B$16:$D$24,3,0)*Table1[[#This Row],[Estimação (horas)]]</f>
        <v>2.5000000000000001E-2</v>
      </c>
      <c r="X906" s="2"/>
    </row>
    <row r="907" spans="2:24" ht="17.7" hidden="1" customHeight="1">
      <c r="B907" s="2" t="s">
        <v>26</v>
      </c>
      <c r="C907" s="2" t="s">
        <v>181</v>
      </c>
      <c r="D907" s="2" t="s">
        <v>1230</v>
      </c>
      <c r="E907" s="2" t="s">
        <v>38</v>
      </c>
      <c r="F907" s="2" t="s">
        <v>2154</v>
      </c>
      <c r="G907" s="2" t="s">
        <v>206</v>
      </c>
      <c r="H907" s="56" t="str">
        <f>Table1[[#This Row],[Tabela]]&amp;Table1[[#This Row],[Campo]]</f>
        <v>modesg_param_sfics_taxon_europeianome_specific_eligible</v>
      </c>
      <c r="I907" s="2" t="s">
        <v>614</v>
      </c>
      <c r="J907" s="53">
        <f>VLOOKUP(Table1[[#This Row],[Status]],Auxiliar!$B$16:$C$24,2,0)</f>
        <v>5</v>
      </c>
      <c r="K907" s="2" t="s">
        <v>1190</v>
      </c>
      <c r="L907" s="28" t="s">
        <v>1193</v>
      </c>
      <c r="M907" s="20" t="s">
        <v>1194</v>
      </c>
      <c r="N907" s="47">
        <v>45688</v>
      </c>
      <c r="O907" s="20">
        <f>INDEX(Auxiliar!$D$5:$F$13,MATCH(Table1[[#This Row],[Tipologia_Testes]],Auxiliar!$B$5:$B$13,0),MATCH(Table1[[#This Row],[Complexidade]],Auxiliar!$D$4:$F$4,0))</f>
        <v>0.1</v>
      </c>
      <c r="P907" s="2" t="s">
        <v>1213</v>
      </c>
      <c r="Q907" s="2"/>
      <c r="R907" s="151">
        <v>45561</v>
      </c>
      <c r="S907" s="151"/>
      <c r="T907" s="151">
        <v>45561</v>
      </c>
      <c r="U907" s="151"/>
      <c r="V907" s="151"/>
      <c r="W907" s="2">
        <f>VLOOKUP(Table1[[#This Row],[Status]],Auxiliar!$B$16:$D$24,3,0)*Table1[[#This Row],[Estimação (horas)]]</f>
        <v>2.5000000000000001E-2</v>
      </c>
      <c r="X907" s="2"/>
    </row>
    <row r="908" spans="2:24" ht="17.7" hidden="1" customHeight="1">
      <c r="B908" s="2" t="s">
        <v>26</v>
      </c>
      <c r="C908" s="2" t="s">
        <v>181</v>
      </c>
      <c r="D908" s="2" t="s">
        <v>1230</v>
      </c>
      <c r="E908" s="2" t="s">
        <v>38</v>
      </c>
      <c r="F908" s="2" t="s">
        <v>2154</v>
      </c>
      <c r="G908" s="2" t="s">
        <v>207</v>
      </c>
      <c r="H908" s="56" t="str">
        <f>Table1[[#This Row],[Tabela]]&amp;Table1[[#This Row],[Campo]]</f>
        <v>modesg_param_sfics_taxon_europeianome_specific_sustainable</v>
      </c>
      <c r="I908" s="2" t="s">
        <v>614</v>
      </c>
      <c r="J908" s="53">
        <f>VLOOKUP(Table1[[#This Row],[Status]],Auxiliar!$B$16:$C$24,2,0)</f>
        <v>5</v>
      </c>
      <c r="K908" s="2" t="s">
        <v>1190</v>
      </c>
      <c r="L908" s="28" t="s">
        <v>1193</v>
      </c>
      <c r="M908" s="20" t="s">
        <v>1194</v>
      </c>
      <c r="N908" s="47">
        <v>45688</v>
      </c>
      <c r="O908" s="20">
        <f>INDEX(Auxiliar!$D$5:$F$13,MATCH(Table1[[#This Row],[Tipologia_Testes]],Auxiliar!$B$5:$B$13,0),MATCH(Table1[[#This Row],[Complexidade]],Auxiliar!$D$4:$F$4,0))</f>
        <v>0.1</v>
      </c>
      <c r="P908" s="2" t="s">
        <v>1213</v>
      </c>
      <c r="Q908" s="2"/>
      <c r="R908" s="151">
        <v>45561</v>
      </c>
      <c r="S908" s="151"/>
      <c r="T908" s="151">
        <v>45561</v>
      </c>
      <c r="U908" s="151"/>
      <c r="V908" s="151"/>
      <c r="W908" s="2">
        <f>VLOOKUP(Table1[[#This Row],[Status]],Auxiliar!$B$16:$D$24,3,0)*Table1[[#This Row],[Estimação (horas)]]</f>
        <v>2.5000000000000001E-2</v>
      </c>
      <c r="X908" s="2"/>
    </row>
    <row r="909" spans="2:24" ht="17.7" hidden="1" customHeight="1">
      <c r="B909" s="12" t="s">
        <v>26</v>
      </c>
      <c r="C909" s="12" t="s">
        <v>181</v>
      </c>
      <c r="D909" s="12" t="s">
        <v>1237</v>
      </c>
      <c r="E909" s="2" t="s">
        <v>38</v>
      </c>
      <c r="F909" s="12" t="s">
        <v>212</v>
      </c>
      <c r="G909" s="12" t="s">
        <v>38</v>
      </c>
      <c r="H909" s="57" t="str">
        <f>Table1[[#This Row],[Tabela]]&amp;Table1[[#This Row],[Campo]]</f>
        <v>modesg_inp_emss_vclsn.a.</v>
      </c>
      <c r="I909" s="2" t="s">
        <v>612</v>
      </c>
      <c r="J909" s="45">
        <f>VLOOKUP(Table1[[#This Row],[Status]],Auxiliar!$B$16:$C$24,2,0)</f>
        <v>1</v>
      </c>
      <c r="K909" s="20" t="s">
        <v>1184</v>
      </c>
      <c r="L909" s="248" t="s">
        <v>1193</v>
      </c>
      <c r="M909" s="20" t="s">
        <v>1194</v>
      </c>
      <c r="N909" s="47">
        <v>45546</v>
      </c>
      <c r="O909" s="20">
        <f>INDEX(Auxiliar!$D$5:$F$13,MATCH(Table1[[#This Row],[Tipologia_Testes]],Auxiliar!$B$5:$B$13,0),MATCH(Table1[[#This Row],[Complexidade]],Auxiliar!$D$4:$F$4,0))</f>
        <v>8</v>
      </c>
      <c r="P909" s="2" t="s">
        <v>1238</v>
      </c>
      <c r="Q909" s="2"/>
      <c r="R909" s="151">
        <v>45261</v>
      </c>
      <c r="S909" s="151"/>
      <c r="T909" s="151"/>
      <c r="U909" s="151">
        <v>45603</v>
      </c>
      <c r="V909" s="151">
        <v>45534</v>
      </c>
      <c r="W909" s="2">
        <f>VLOOKUP(Table1[[#This Row],[Status]],Auxiliar!$B$16:$D$24,3,0)*Table1[[#This Row],[Estimação (horas)]]</f>
        <v>8</v>
      </c>
      <c r="X909" s="2"/>
    </row>
    <row r="910" spans="2:24" ht="17.7" hidden="1" customHeight="1">
      <c r="B910" s="12" t="s">
        <v>26</v>
      </c>
      <c r="C910" s="12" t="s">
        <v>181</v>
      </c>
      <c r="D910" s="12" t="s">
        <v>1237</v>
      </c>
      <c r="E910" s="2" t="s">
        <v>38</v>
      </c>
      <c r="F910" s="12" t="s">
        <v>212</v>
      </c>
      <c r="G910" s="12" t="s">
        <v>38</v>
      </c>
      <c r="H910" s="57" t="str">
        <f>Table1[[#This Row],[Tabela]]&amp;Table1[[#This Row],[Campo]]</f>
        <v>modesg_inp_emss_vclsn.a.</v>
      </c>
      <c r="I910" s="2" t="s">
        <v>612</v>
      </c>
      <c r="J910" s="45">
        <f>VLOOKUP(Table1[[#This Row],[Status]],Auxiliar!$B$16:$C$24,2,0)</f>
        <v>1</v>
      </c>
      <c r="K910" s="20" t="s">
        <v>1231</v>
      </c>
      <c r="L910" s="248" t="s">
        <v>1193</v>
      </c>
      <c r="M910" s="20" t="s">
        <v>1194</v>
      </c>
      <c r="N910" s="47">
        <v>45546</v>
      </c>
      <c r="O910" s="20">
        <f>INDEX(Auxiliar!$D$5:$F$13,MATCH(Table1[[#This Row],[Tipologia_Testes]],Auxiliar!$B$5:$B$13,0),MATCH(Table1[[#This Row],[Complexidade]],Auxiliar!$D$4:$F$4,0))</f>
        <v>0.5</v>
      </c>
      <c r="P910" s="2" t="s">
        <v>1239</v>
      </c>
      <c r="Q910" s="2" t="s">
        <v>1240</v>
      </c>
      <c r="R910" s="151">
        <v>45261</v>
      </c>
      <c r="S910" s="151"/>
      <c r="T910" s="151">
        <v>45471</v>
      </c>
      <c r="U910" s="151">
        <v>45603</v>
      </c>
      <c r="V910" s="151">
        <v>45534</v>
      </c>
      <c r="W910" s="2">
        <f>VLOOKUP(Table1[[#This Row],[Status]],Auxiliar!$B$16:$D$24,3,0)*Table1[[#This Row],[Estimação (horas)]]</f>
        <v>0.5</v>
      </c>
      <c r="X910" s="2"/>
    </row>
    <row r="911" spans="2:24" ht="17.7" hidden="1" customHeight="1">
      <c r="B911" s="12" t="s">
        <v>26</v>
      </c>
      <c r="C911" s="12" t="s">
        <v>181</v>
      </c>
      <c r="D911" s="12" t="s">
        <v>1237</v>
      </c>
      <c r="E911" s="2" t="s">
        <v>38</v>
      </c>
      <c r="F911" s="12" t="s">
        <v>213</v>
      </c>
      <c r="G911" s="12" t="s">
        <v>38</v>
      </c>
      <c r="H911" s="57" t="str">
        <f>Table1[[#This Row],[Tabela]]&amp;Table1[[#This Row],[Campo]]</f>
        <v>modesg_inp_km_medios_emss_vclsn.a.</v>
      </c>
      <c r="I911" s="2" t="s">
        <v>612</v>
      </c>
      <c r="J911" s="45">
        <f>VLOOKUP(Table1[[#This Row],[Status]],Auxiliar!$B$16:$C$24,2,0)</f>
        <v>1</v>
      </c>
      <c r="K911" s="20" t="s">
        <v>1184</v>
      </c>
      <c r="L911" s="21"/>
      <c r="M911" s="20" t="s">
        <v>1194</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7" hidden="1" customHeight="1">
      <c r="B912" s="12" t="s">
        <v>26</v>
      </c>
      <c r="C912" s="12" t="s">
        <v>181</v>
      </c>
      <c r="D912" s="12" t="s">
        <v>1237</v>
      </c>
      <c r="E912" s="2" t="s">
        <v>38</v>
      </c>
      <c r="F912" s="12" t="s">
        <v>213</v>
      </c>
      <c r="G912" s="12" t="s">
        <v>38</v>
      </c>
      <c r="H912" s="57" t="str">
        <f>Table1[[#This Row],[Tabela]]&amp;Table1[[#This Row],[Campo]]</f>
        <v>modesg_inp_km_medios_emss_vclsn.a.</v>
      </c>
      <c r="I912" s="2" t="s">
        <v>612</v>
      </c>
      <c r="J912" s="45">
        <f>VLOOKUP(Table1[[#This Row],[Status]],Auxiliar!$B$16:$C$24,2,0)</f>
        <v>1</v>
      </c>
      <c r="K912" s="20" t="s">
        <v>1231</v>
      </c>
      <c r="L912" s="21"/>
      <c r="M912" s="20" t="s">
        <v>1194</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7" hidden="1" customHeight="1">
      <c r="B913" s="12" t="s">
        <v>26</v>
      </c>
      <c r="C913" s="12" t="s">
        <v>181</v>
      </c>
      <c r="D913" s="12" t="s">
        <v>1241</v>
      </c>
      <c r="E913" s="2" t="s">
        <v>38</v>
      </c>
      <c r="F913" s="12" t="s">
        <v>214</v>
      </c>
      <c r="G913" s="12" t="s">
        <v>38</v>
      </c>
      <c r="H913" s="57" t="str">
        <f>Table1[[#This Row],[Tabela]]&amp;Table1[[#This Row],[Campo]]</f>
        <v>modesg_inp_empr_excl_parisn.a.</v>
      </c>
      <c r="I913" s="2" t="s">
        <v>612</v>
      </c>
      <c r="J913" s="45">
        <f>VLOOKUP(Table1[[#This Row],[Status]],Auxiliar!$B$16:$C$24,2,0)</f>
        <v>1</v>
      </c>
      <c r="K913" s="20" t="s">
        <v>1184</v>
      </c>
      <c r="L913" s="21"/>
      <c r="M913" s="20" t="s">
        <v>1194</v>
      </c>
      <c r="N913" s="47">
        <v>45491</v>
      </c>
      <c r="O913" s="20">
        <f>INDEX(Auxiliar!$D$5:$F$13,MATCH(Table1[[#This Row],[Tipologia_Testes]],Auxiliar!$B$5:$B$13,0),MATCH(Table1[[#This Row],[Complexidade]],Auxiliar!$D$4:$F$4,0))</f>
        <v>8</v>
      </c>
      <c r="P913" s="2" t="s">
        <v>1242</v>
      </c>
      <c r="Q913" s="2"/>
      <c r="R913" s="151">
        <v>45261</v>
      </c>
      <c r="S913" s="151"/>
      <c r="T913" s="151"/>
      <c r="U913" s="151">
        <v>45603</v>
      </c>
      <c r="V913" s="151"/>
      <c r="W913" s="2">
        <f>VLOOKUP(Table1[[#This Row],[Status]],Auxiliar!$B$16:$D$24,3,0)*Table1[[#This Row],[Estimação (horas)]]</f>
        <v>8</v>
      </c>
      <c r="X913" s="2"/>
    </row>
    <row r="914" spans="2:24" ht="17.7" hidden="1" customHeight="1">
      <c r="B914" s="12" t="s">
        <v>26</v>
      </c>
      <c r="C914" s="12" t="s">
        <v>181</v>
      </c>
      <c r="D914" s="12" t="s">
        <v>1241</v>
      </c>
      <c r="E914" s="2" t="s">
        <v>38</v>
      </c>
      <c r="F914" s="12" t="s">
        <v>214</v>
      </c>
      <c r="G914" s="12" t="s">
        <v>38</v>
      </c>
      <c r="H914" s="57" t="str">
        <f>Table1[[#This Row],[Tabela]]&amp;Table1[[#This Row],[Campo]]</f>
        <v>modesg_inp_empr_excl_parisn.a.</v>
      </c>
      <c r="I914" s="2" t="s">
        <v>612</v>
      </c>
      <c r="J914" s="45">
        <f>VLOOKUP(Table1[[#This Row],[Status]],Auxiliar!$B$16:$C$24,2,0)</f>
        <v>1</v>
      </c>
      <c r="K914" s="20" t="s">
        <v>1231</v>
      </c>
      <c r="L914" s="21"/>
      <c r="M914" s="20" t="s">
        <v>1194</v>
      </c>
      <c r="N914" s="47">
        <v>45491</v>
      </c>
      <c r="O914" s="20">
        <f>INDEX(Auxiliar!$D$5:$F$13,MATCH(Table1[[#This Row],[Tipologia_Testes]],Auxiliar!$B$5:$B$13,0),MATCH(Table1[[#This Row],[Complexidade]],Auxiliar!$D$4:$F$4,0))</f>
        <v>0.5</v>
      </c>
      <c r="P914" s="2" t="s">
        <v>1243</v>
      </c>
      <c r="Q914" s="2"/>
      <c r="R914" s="151">
        <v>45261</v>
      </c>
      <c r="S914" s="151"/>
      <c r="T914" s="151"/>
      <c r="U914" s="151">
        <v>45603</v>
      </c>
      <c r="V914" s="151"/>
      <c r="W914" s="2">
        <f>VLOOKUP(Table1[[#This Row],[Status]],Auxiliar!$B$16:$D$24,3,0)*Table1[[#This Row],[Estimação (horas)]]</f>
        <v>0.5</v>
      </c>
      <c r="X914" s="2"/>
    </row>
    <row r="915" spans="2:24" ht="17.7" hidden="1" customHeight="1">
      <c r="B915" s="12" t="s">
        <v>26</v>
      </c>
      <c r="C915" s="12" t="s">
        <v>181</v>
      </c>
      <c r="D915" s="12" t="s">
        <v>1244</v>
      </c>
      <c r="E915" s="2" t="s">
        <v>38</v>
      </c>
      <c r="F915" s="12" t="s">
        <v>215</v>
      </c>
      <c r="G915" s="12" t="s">
        <v>38</v>
      </c>
      <c r="H915" s="57" t="str">
        <f>Table1[[#This Row],[Tabela]]&amp;Table1[[#This Row],[Campo]]</f>
        <v>modesg_inp_nfrd_alinhamento_taxn.a.</v>
      </c>
      <c r="I915" s="2" t="s">
        <v>612</v>
      </c>
      <c r="J915" s="45">
        <f>VLOOKUP(Table1[[#This Row],[Status]],Auxiliar!$B$16:$C$24,2,0)</f>
        <v>1</v>
      </c>
      <c r="K915" s="20" t="s">
        <v>1184</v>
      </c>
      <c r="L915" s="21"/>
      <c r="M915" s="20" t="s">
        <v>1194</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7" hidden="1" customHeight="1">
      <c r="B916" s="12" t="s">
        <v>26</v>
      </c>
      <c r="C916" s="12" t="s">
        <v>181</v>
      </c>
      <c r="D916" s="12" t="s">
        <v>1244</v>
      </c>
      <c r="E916" s="2" t="s">
        <v>38</v>
      </c>
      <c r="F916" s="12" t="s">
        <v>215</v>
      </c>
      <c r="G916" s="12" t="s">
        <v>38</v>
      </c>
      <c r="H916" s="57" t="str">
        <f>Table1[[#This Row],[Tabela]]&amp;Table1[[#This Row],[Campo]]</f>
        <v>modesg_inp_nfrd_alinhamento_taxn.a.</v>
      </c>
      <c r="I916" s="2" t="s">
        <v>612</v>
      </c>
      <c r="J916" s="45">
        <f>VLOOKUP(Table1[[#This Row],[Status]],Auxiliar!$B$16:$C$24,2,0)</f>
        <v>1</v>
      </c>
      <c r="K916" s="20" t="s">
        <v>1231</v>
      </c>
      <c r="L916" s="21"/>
      <c r="M916" s="20" t="s">
        <v>1194</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7" hidden="1" customHeight="1">
      <c r="B917" s="12" t="s">
        <v>26</v>
      </c>
      <c r="C917" s="12" t="s">
        <v>181</v>
      </c>
      <c r="D917" s="12" t="s">
        <v>1245</v>
      </c>
      <c r="E917" s="2" t="s">
        <v>38</v>
      </c>
      <c r="F917" s="12" t="s">
        <v>216</v>
      </c>
      <c r="G917" s="12" t="s">
        <v>38</v>
      </c>
      <c r="H917" s="57" t="str">
        <f>Table1[[#This Row],[Tabela]]&amp;Table1[[#This Row],[Campo]]</f>
        <v>modesg_inp_risco_fisicon.a.</v>
      </c>
      <c r="I917" s="2" t="s">
        <v>612</v>
      </c>
      <c r="J917" s="45">
        <f>VLOOKUP(Table1[[#This Row],[Status]],Auxiliar!$B$16:$C$24,2,0)</f>
        <v>1</v>
      </c>
      <c r="K917" s="20" t="s">
        <v>1184</v>
      </c>
      <c r="L917" s="20" t="s">
        <v>1193</v>
      </c>
      <c r="M917" s="20" t="s">
        <v>1194</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7" hidden="1" customHeight="1">
      <c r="B918" s="12" t="s">
        <v>26</v>
      </c>
      <c r="C918" s="12" t="s">
        <v>181</v>
      </c>
      <c r="D918" s="12" t="s">
        <v>1245</v>
      </c>
      <c r="E918" s="2" t="s">
        <v>38</v>
      </c>
      <c r="F918" s="12" t="s">
        <v>216</v>
      </c>
      <c r="G918" s="12" t="s">
        <v>38</v>
      </c>
      <c r="H918" s="57" t="str">
        <f>Table1[[#This Row],[Tabela]]&amp;Table1[[#This Row],[Campo]]</f>
        <v>modesg_inp_risco_fisicon.a.</v>
      </c>
      <c r="I918" s="2" t="s">
        <v>612</v>
      </c>
      <c r="J918" s="45">
        <f>VLOOKUP(Table1[[#This Row],[Status]],Auxiliar!$B$16:$C$24,2,0)</f>
        <v>1</v>
      </c>
      <c r="K918" s="20" t="s">
        <v>1231</v>
      </c>
      <c r="L918" s="20" t="s">
        <v>1185</v>
      </c>
      <c r="M918" s="20" t="s">
        <v>1194</v>
      </c>
      <c r="N918" s="47">
        <v>45485</v>
      </c>
      <c r="O918" s="20">
        <f>INDEX(Auxiliar!$D$5:$F$13,MATCH(Table1[[#This Row],[Tipologia_Testes]],Auxiliar!$B$5:$B$13,0),MATCH(Table1[[#This Row],[Complexidade]],Auxiliar!$D$4:$F$4,0))</f>
        <v>0.5</v>
      </c>
      <c r="P918" s="2" t="s">
        <v>1243</v>
      </c>
      <c r="Q918" s="2"/>
      <c r="R918" s="151">
        <v>45261</v>
      </c>
      <c r="S918" s="151"/>
      <c r="T918" s="151"/>
      <c r="U918" s="151">
        <v>45603</v>
      </c>
      <c r="V918" s="151"/>
      <c r="W918" s="2">
        <f>VLOOKUP(Table1[[#This Row],[Status]],Auxiliar!$B$16:$D$24,3,0)*Table1[[#This Row],[Estimação (horas)]]</f>
        <v>0.5</v>
      </c>
      <c r="X918" s="2"/>
    </row>
    <row r="919" spans="2:24" ht="17.7" hidden="1" customHeight="1">
      <c r="B919" s="12" t="s">
        <v>26</v>
      </c>
      <c r="C919" s="12" t="s">
        <v>181</v>
      </c>
      <c r="D919" s="12" t="s">
        <v>1237</v>
      </c>
      <c r="E919" s="2" t="s">
        <v>38</v>
      </c>
      <c r="F919" s="12" t="s">
        <v>217</v>
      </c>
      <c r="G919" s="12" t="s">
        <v>38</v>
      </c>
      <c r="H919" s="57" t="str">
        <f>Table1[[#This Row],[Tabela]]&amp;Table1[[#This Row],[Campo]]</f>
        <v>modesg_inp_emss_scibn.a.</v>
      </c>
      <c r="I919" s="2" t="s">
        <v>612</v>
      </c>
      <c r="J919" s="45">
        <f>VLOOKUP(Table1[[#This Row],[Status]],Auxiliar!$B$16:$C$24,2,0)</f>
        <v>1</v>
      </c>
      <c r="K919" s="20" t="s">
        <v>1184</v>
      </c>
      <c r="L919" s="20" t="s">
        <v>1193</v>
      </c>
      <c r="M919" s="20" t="s">
        <v>1194</v>
      </c>
      <c r="N919" s="47">
        <v>45490</v>
      </c>
      <c r="O919" s="20">
        <f>INDEX(Auxiliar!$D$5:$F$13,MATCH(Table1[[#This Row],[Tipologia_Testes]],Auxiliar!$B$5:$B$13,0),MATCH(Table1[[#This Row],[Complexidade]],Auxiliar!$D$4:$F$4,0))</f>
        <v>8</v>
      </c>
      <c r="P919" s="2"/>
      <c r="Q919" s="2" t="s">
        <v>1240</v>
      </c>
      <c r="R919" s="151">
        <v>45261</v>
      </c>
      <c r="S919" s="151"/>
      <c r="T919" s="151"/>
      <c r="U919" s="151">
        <v>45603</v>
      </c>
      <c r="V919" s="151"/>
      <c r="W919" s="2">
        <f>VLOOKUP(Table1[[#This Row],[Status]],Auxiliar!$B$16:$D$24,3,0)*Table1[[#This Row],[Estimação (horas)]]</f>
        <v>8</v>
      </c>
      <c r="X919" s="2"/>
    </row>
    <row r="920" spans="2:24" ht="17.7" hidden="1" customHeight="1">
      <c r="B920" s="12" t="s">
        <v>26</v>
      </c>
      <c r="C920" s="12" t="s">
        <v>181</v>
      </c>
      <c r="D920" s="12" t="s">
        <v>1237</v>
      </c>
      <c r="E920" s="2" t="s">
        <v>38</v>
      </c>
      <c r="F920" s="12" t="s">
        <v>217</v>
      </c>
      <c r="G920" s="12" t="s">
        <v>38</v>
      </c>
      <c r="H920" s="57" t="str">
        <f>Table1[[#This Row],[Tabela]]&amp;Table1[[#This Row],[Campo]]</f>
        <v>modesg_inp_emss_scibn.a.</v>
      </c>
      <c r="I920" s="2" t="s">
        <v>612</v>
      </c>
      <c r="J920" s="45">
        <f>VLOOKUP(Table1[[#This Row],[Status]],Auxiliar!$B$16:$C$24,2,0)</f>
        <v>1</v>
      </c>
      <c r="K920" s="20" t="s">
        <v>1231</v>
      </c>
      <c r="L920" s="20" t="s">
        <v>1185</v>
      </c>
      <c r="M920" s="20" t="s">
        <v>1194</v>
      </c>
      <c r="N920" s="47">
        <v>45490</v>
      </c>
      <c r="O920" s="20">
        <f>INDEX(Auxiliar!$D$5:$F$13,MATCH(Table1[[#This Row],[Tipologia_Testes]],Auxiliar!$B$5:$B$13,0),MATCH(Table1[[#This Row],[Complexidade]],Auxiliar!$D$4:$F$4,0))</f>
        <v>0.5</v>
      </c>
      <c r="P920" s="2"/>
      <c r="Q920" s="2" t="s">
        <v>1240</v>
      </c>
      <c r="R920" s="151">
        <v>45261</v>
      </c>
      <c r="S920" s="151"/>
      <c r="T920" s="151"/>
      <c r="U920" s="151">
        <v>45603</v>
      </c>
      <c r="V920" s="151"/>
      <c r="W920" s="2">
        <f>VLOOKUP(Table1[[#This Row],[Status]],Auxiliar!$B$16:$D$24,3,0)*Table1[[#This Row],[Estimação (horas)]]</f>
        <v>0.5</v>
      </c>
      <c r="X920" s="2"/>
    </row>
    <row r="921" spans="2:24" ht="17.7" hidden="1" customHeight="1">
      <c r="B921" s="12" t="s">
        <v>26</v>
      </c>
      <c r="C921" s="12" t="s">
        <v>181</v>
      </c>
      <c r="D921" s="12" t="s">
        <v>1237</v>
      </c>
      <c r="E921" s="2" t="s">
        <v>38</v>
      </c>
      <c r="F921" s="12" t="s">
        <v>218</v>
      </c>
      <c r="G921" s="12" t="s">
        <v>38</v>
      </c>
      <c r="H921" s="57" t="str">
        <f>Table1[[#This Row],[Tabela]]&amp;Table1[[#This Row],[Campo]]</f>
        <v>modesg_inp_emss_nacen.a.</v>
      </c>
      <c r="I921" s="2" t="s">
        <v>612</v>
      </c>
      <c r="J921" s="45">
        <f>VLOOKUP(Table1[[#This Row],[Status]],Auxiliar!$B$16:$C$24,2,0)</f>
        <v>1</v>
      </c>
      <c r="K921" s="20" t="s">
        <v>1184</v>
      </c>
      <c r="L921" s="20" t="s">
        <v>1193</v>
      </c>
      <c r="M921" s="20" t="s">
        <v>1194</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7" hidden="1" customHeight="1">
      <c r="B922" s="12" t="s">
        <v>26</v>
      </c>
      <c r="C922" s="12" t="s">
        <v>181</v>
      </c>
      <c r="D922" s="12" t="s">
        <v>1237</v>
      </c>
      <c r="E922" s="2" t="s">
        <v>38</v>
      </c>
      <c r="F922" s="12" t="s">
        <v>218</v>
      </c>
      <c r="G922" s="12" t="s">
        <v>38</v>
      </c>
      <c r="H922" s="57" t="str">
        <f>Table1[[#This Row],[Tabela]]&amp;Table1[[#This Row],[Campo]]</f>
        <v>modesg_inp_emss_nacen.a.</v>
      </c>
      <c r="I922" s="2" t="s">
        <v>612</v>
      </c>
      <c r="J922" s="45">
        <f>VLOOKUP(Table1[[#This Row],[Status]],Auxiliar!$B$16:$C$24,2,0)</f>
        <v>1</v>
      </c>
      <c r="K922" s="20" t="s">
        <v>1231</v>
      </c>
      <c r="L922" s="20" t="s">
        <v>1185</v>
      </c>
      <c r="M922" s="20" t="s">
        <v>1194</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7" hidden="1" customHeight="1">
      <c r="B923" s="12" t="s">
        <v>26</v>
      </c>
      <c r="C923" s="12" t="s">
        <v>181</v>
      </c>
      <c r="D923" s="12" t="s">
        <v>1237</v>
      </c>
      <c r="E923" s="2" t="s">
        <v>38</v>
      </c>
      <c r="F923" s="12" t="s">
        <v>219</v>
      </c>
      <c r="G923" s="12" t="s">
        <v>38</v>
      </c>
      <c r="H923" s="57" t="str">
        <f>Table1[[#This Row],[Tabela]]&amp;Table1[[#This Row],[Campo]]</f>
        <v>modesg_inp_emss_bens_imoveisn.a.</v>
      </c>
      <c r="I923" s="2" t="s">
        <v>612</v>
      </c>
      <c r="J923" s="45">
        <f>VLOOKUP(Table1[[#This Row],[Status]],Auxiliar!$B$16:$C$24,2,0)</f>
        <v>1</v>
      </c>
      <c r="K923" s="20" t="s">
        <v>1184</v>
      </c>
      <c r="L923" s="20" t="s">
        <v>1193</v>
      </c>
      <c r="M923" s="20" t="s">
        <v>1194</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7" hidden="1" customHeight="1">
      <c r="B924" s="12" t="s">
        <v>26</v>
      </c>
      <c r="C924" s="12" t="s">
        <v>181</v>
      </c>
      <c r="D924" s="12" t="s">
        <v>1237</v>
      </c>
      <c r="E924" s="2" t="s">
        <v>38</v>
      </c>
      <c r="F924" s="12" t="s">
        <v>219</v>
      </c>
      <c r="G924" s="12" t="s">
        <v>38</v>
      </c>
      <c r="H924" s="57" t="str">
        <f>Table1[[#This Row],[Tabela]]&amp;Table1[[#This Row],[Campo]]</f>
        <v>modesg_inp_emss_bens_imoveisn.a.</v>
      </c>
      <c r="I924" s="2" t="s">
        <v>612</v>
      </c>
      <c r="J924" s="45">
        <f>VLOOKUP(Table1[[#This Row],[Status]],Auxiliar!$B$16:$C$24,2,0)</f>
        <v>1</v>
      </c>
      <c r="K924" s="20" t="s">
        <v>1231</v>
      </c>
      <c r="L924" s="20" t="s">
        <v>1185</v>
      </c>
      <c r="M924" s="20" t="s">
        <v>1194</v>
      </c>
      <c r="N924" s="47">
        <v>45546</v>
      </c>
      <c r="O924" s="20">
        <f>INDEX(Auxiliar!$D$5:$F$13,MATCH(Table1[[#This Row],[Tipologia_Testes]],Auxiliar!$B$5:$B$13,0),MATCH(Table1[[#This Row],[Complexidade]],Auxiliar!$D$4:$F$4,0))</f>
        <v>0.5</v>
      </c>
      <c r="P924" s="2" t="s">
        <v>1246</v>
      </c>
      <c r="Q924" s="2"/>
      <c r="R924" s="151">
        <v>45261</v>
      </c>
      <c r="S924" s="151"/>
      <c r="T924" s="151"/>
      <c r="U924" s="151">
        <v>45603</v>
      </c>
      <c r="V924" s="151">
        <v>45534</v>
      </c>
      <c r="W924" s="2">
        <f>VLOOKUP(Table1[[#This Row],[Status]],Auxiliar!$B$16:$D$24,3,0)*Table1[[#This Row],[Estimação (horas)]]</f>
        <v>0.5</v>
      </c>
      <c r="X924" s="2"/>
    </row>
    <row r="925" spans="2:24" ht="17.7" hidden="1" customHeight="1">
      <c r="B925" s="12" t="s">
        <v>26</v>
      </c>
      <c r="C925" s="12" t="s">
        <v>181</v>
      </c>
      <c r="D925" s="12" t="s">
        <v>1237</v>
      </c>
      <c r="E925" s="2" t="s">
        <v>38</v>
      </c>
      <c r="F925" s="12" t="s">
        <v>212</v>
      </c>
      <c r="G925" s="12" t="s">
        <v>208</v>
      </c>
      <c r="H925" s="57" t="str">
        <f>Table1[[#This Row],[Tabela]]&amp;Table1[[#This Row],[Campo]]</f>
        <v>modesg_inp_emss_vclsref_date</v>
      </c>
      <c r="I925" s="2" t="s">
        <v>612</v>
      </c>
      <c r="J925" s="45">
        <f>VLOOKUP(Table1[[#This Row],[Status]],Auxiliar!$B$16:$C$24,2,0)</f>
        <v>1</v>
      </c>
      <c r="K925" s="20" t="s">
        <v>1198</v>
      </c>
      <c r="L925" s="20" t="s">
        <v>1193</v>
      </c>
      <c r="M925" s="20" t="s">
        <v>1195</v>
      </c>
      <c r="N925" s="47">
        <v>45546</v>
      </c>
      <c r="O925" s="20">
        <f>INDEX(Auxiliar!$D$5:$F$13,MATCH(Table1[[#This Row],[Tipologia_Testes]],Auxiliar!$B$5:$B$13,0),MATCH(Table1[[#This Row],[Complexidade]],Auxiliar!$D$4:$F$4,0))</f>
        <v>0.5</v>
      </c>
      <c r="P925" s="2" t="s">
        <v>1247</v>
      </c>
      <c r="Q925" s="2"/>
      <c r="R925" s="151">
        <v>45261</v>
      </c>
      <c r="S925" s="151"/>
      <c r="T925" s="151"/>
      <c r="U925" s="151">
        <v>45603</v>
      </c>
      <c r="V925" s="151">
        <v>45534</v>
      </c>
      <c r="W925" s="2">
        <f>VLOOKUP(Table1[[#This Row],[Status]],Auxiliar!$B$16:$D$24,3,0)*Table1[[#This Row],[Estimação (horas)]]</f>
        <v>0.5</v>
      </c>
      <c r="X925" s="2"/>
    </row>
    <row r="926" spans="2:24" ht="17.7" hidden="1" customHeight="1">
      <c r="B926" s="12" t="s">
        <v>26</v>
      </c>
      <c r="C926" s="12" t="s">
        <v>181</v>
      </c>
      <c r="D926" s="12" t="s">
        <v>1237</v>
      </c>
      <c r="E926" s="2" t="s">
        <v>38</v>
      </c>
      <c r="F926" s="12" t="s">
        <v>212</v>
      </c>
      <c r="G926" s="12" t="s">
        <v>220</v>
      </c>
      <c r="H926" s="57" t="str">
        <f>Table1[[#This Row],[Tabela]]&amp;Table1[[#This Row],[Campo]]</f>
        <v>modesg_inp_emss_vclsnome_regiao</v>
      </c>
      <c r="I926" s="2" t="s">
        <v>612</v>
      </c>
      <c r="J926" s="45">
        <f>VLOOKUP(Table1[[#This Row],[Status]],Auxiliar!$B$16:$C$24,2,0)</f>
        <v>1</v>
      </c>
      <c r="K926" s="20" t="s">
        <v>1190</v>
      </c>
      <c r="L926" s="20" t="s">
        <v>1185</v>
      </c>
      <c r="M926" s="20" t="s">
        <v>1195</v>
      </c>
      <c r="N926" s="47">
        <v>45546</v>
      </c>
      <c r="O926" s="20">
        <f>INDEX(Auxiliar!$D$5:$F$13,MATCH(Table1[[#This Row],[Tipologia_Testes]],Auxiliar!$B$5:$B$13,0),MATCH(Table1[[#This Row],[Complexidade]],Auxiliar!$D$4:$F$4,0))</f>
        <v>0.1</v>
      </c>
      <c r="P926" s="2" t="s">
        <v>1248</v>
      </c>
      <c r="Q926" s="2"/>
      <c r="R926" s="151">
        <v>45261</v>
      </c>
      <c r="S926" s="151"/>
      <c r="T926" s="151"/>
      <c r="U926" s="151">
        <v>45603</v>
      </c>
      <c r="V926" s="151">
        <v>45534</v>
      </c>
      <c r="W926" s="2">
        <f>VLOOKUP(Table1[[#This Row],[Status]],Auxiliar!$B$16:$D$24,3,0)*Table1[[#This Row],[Estimação (horas)]]</f>
        <v>0.1</v>
      </c>
      <c r="X926" s="2"/>
    </row>
    <row r="927" spans="2:24" ht="69.599999999999994" hidden="1" customHeight="1">
      <c r="B927" s="12" t="s">
        <v>26</v>
      </c>
      <c r="C927" s="12" t="s">
        <v>181</v>
      </c>
      <c r="D927" s="12" t="s">
        <v>1237</v>
      </c>
      <c r="E927" s="2" t="s">
        <v>38</v>
      </c>
      <c r="F927" s="12" t="s">
        <v>212</v>
      </c>
      <c r="G927" s="12" t="s">
        <v>220</v>
      </c>
      <c r="H927" s="57" t="str">
        <f>Table1[[#This Row],[Tabela]]&amp;Table1[[#This Row],[Campo]]</f>
        <v>modesg_inp_emss_vclsnome_regiao</v>
      </c>
      <c r="I927" s="2" t="s">
        <v>612</v>
      </c>
      <c r="J927" s="45">
        <f>VLOOKUP(Table1[[#This Row],[Status]],Auxiliar!$B$16:$C$24,2,0)</f>
        <v>1</v>
      </c>
      <c r="K927" s="20" t="s">
        <v>1198</v>
      </c>
      <c r="L927" s="20" t="s">
        <v>1185</v>
      </c>
      <c r="M927" s="20" t="s">
        <v>1195</v>
      </c>
      <c r="N927" s="47">
        <v>45546</v>
      </c>
      <c r="O927" s="20">
        <f>INDEX(Auxiliar!$D$5:$F$13,MATCH(Table1[[#This Row],[Tipologia_Testes]],Auxiliar!$B$5:$B$13,0),MATCH(Table1[[#This Row],[Complexidade]],Auxiliar!$D$4:$F$4,0))</f>
        <v>0.5</v>
      </c>
      <c r="P927" s="22" t="s">
        <v>1249</v>
      </c>
      <c r="Q927" s="2"/>
      <c r="R927" s="151">
        <v>45261</v>
      </c>
      <c r="S927" s="151"/>
      <c r="T927" s="151"/>
      <c r="U927" s="151">
        <v>45603</v>
      </c>
      <c r="V927" s="151">
        <v>45534</v>
      </c>
      <c r="W927" s="2">
        <f>VLOOKUP(Table1[[#This Row],[Status]],Auxiliar!$B$16:$D$24,3,0)*Table1[[#This Row],[Estimação (horas)]]</f>
        <v>0.5</v>
      </c>
      <c r="X927" s="2"/>
    </row>
    <row r="928" spans="2:24" ht="17.7" hidden="1" customHeight="1">
      <c r="B928" s="12" t="s">
        <v>26</v>
      </c>
      <c r="C928" s="12" t="s">
        <v>181</v>
      </c>
      <c r="D928" s="12" t="s">
        <v>1237</v>
      </c>
      <c r="E928" s="2" t="s">
        <v>38</v>
      </c>
      <c r="F928" s="12" t="s">
        <v>212</v>
      </c>
      <c r="G928" s="12" t="s">
        <v>221</v>
      </c>
      <c r="H928" s="57" t="str">
        <f>Table1[[#This Row],[Tabela]]&amp;Table1[[#This Row],[Campo]]</f>
        <v>modesg_inp_emss_vclsnome_pais</v>
      </c>
      <c r="I928" s="2" t="s">
        <v>612</v>
      </c>
      <c r="J928" s="45">
        <f>VLOOKUP(Table1[[#This Row],[Status]],Auxiliar!$B$16:$C$24,2,0)</f>
        <v>1</v>
      </c>
      <c r="K928" s="20" t="s">
        <v>1190</v>
      </c>
      <c r="L928" s="2" t="s">
        <v>1185</v>
      </c>
      <c r="M928" s="20" t="s">
        <v>1195</v>
      </c>
      <c r="N928" s="47">
        <v>45546</v>
      </c>
      <c r="O928" s="20">
        <f>INDEX(Auxiliar!$D$5:$F$13,MATCH(Table1[[#This Row],[Tipologia_Testes]],Auxiliar!$B$5:$B$13,0),MATCH(Table1[[#This Row],[Complexidade]],Auxiliar!$D$4:$F$4,0))</f>
        <v>0.1</v>
      </c>
      <c r="P928" s="2" t="s">
        <v>1248</v>
      </c>
      <c r="Q928" s="2"/>
      <c r="R928" s="151">
        <v>45261</v>
      </c>
      <c r="S928" s="151"/>
      <c r="T928" s="151"/>
      <c r="U928" s="151">
        <v>45603</v>
      </c>
      <c r="V928" s="151">
        <v>45534</v>
      </c>
      <c r="W928" s="2">
        <f>VLOOKUP(Table1[[#This Row],[Status]],Auxiliar!$B$16:$D$24,3,0)*Table1[[#This Row],[Estimação (horas)]]</f>
        <v>0.1</v>
      </c>
      <c r="X928" s="2"/>
    </row>
    <row r="929" spans="2:24" ht="69.599999999999994" hidden="1" customHeight="1">
      <c r="B929" s="12" t="s">
        <v>26</v>
      </c>
      <c r="C929" s="12" t="s">
        <v>181</v>
      </c>
      <c r="D929" s="12" t="s">
        <v>1237</v>
      </c>
      <c r="E929" s="2" t="s">
        <v>38</v>
      </c>
      <c r="F929" s="12" t="s">
        <v>212</v>
      </c>
      <c r="G929" s="12" t="s">
        <v>221</v>
      </c>
      <c r="H929" s="57" t="str">
        <f>Table1[[#This Row],[Tabela]]&amp;Table1[[#This Row],[Campo]]</f>
        <v>modesg_inp_emss_vclsnome_pais</v>
      </c>
      <c r="I929" s="2" t="s">
        <v>612</v>
      </c>
      <c r="J929" s="45">
        <f>VLOOKUP(Table1[[#This Row],[Status]],Auxiliar!$B$16:$C$24,2,0)</f>
        <v>1</v>
      </c>
      <c r="K929" s="20" t="s">
        <v>1198</v>
      </c>
      <c r="L929" s="2" t="s">
        <v>1185</v>
      </c>
      <c r="M929" s="20" t="s">
        <v>1195</v>
      </c>
      <c r="N929" s="47">
        <v>45546</v>
      </c>
      <c r="O929" s="20">
        <f>INDEX(Auxiliar!$D$5:$F$13,MATCH(Table1[[#This Row],[Tipologia_Testes]],Auxiliar!$B$5:$B$13,0),MATCH(Table1[[#This Row],[Complexidade]],Auxiliar!$D$4:$F$4,0))</f>
        <v>0.5</v>
      </c>
      <c r="P929" s="22" t="s">
        <v>1249</v>
      </c>
      <c r="Q929" s="2"/>
      <c r="R929" s="151">
        <v>45261</v>
      </c>
      <c r="S929" s="151"/>
      <c r="T929" s="151"/>
      <c r="U929" s="151">
        <v>45603</v>
      </c>
      <c r="V929" s="151">
        <v>45534</v>
      </c>
      <c r="W929" s="2">
        <f>VLOOKUP(Table1[[#This Row],[Status]],Auxiliar!$B$16:$D$24,3,0)*Table1[[#This Row],[Estimação (horas)]]</f>
        <v>0.5</v>
      </c>
      <c r="X929" s="2"/>
    </row>
    <row r="930" spans="2:24" ht="17.7" hidden="1" customHeight="1">
      <c r="B930" s="12" t="s">
        <v>26</v>
      </c>
      <c r="C930" s="12" t="s">
        <v>181</v>
      </c>
      <c r="D930" s="12" t="s">
        <v>1237</v>
      </c>
      <c r="E930" s="2" t="s">
        <v>38</v>
      </c>
      <c r="F930" s="12" t="s">
        <v>212</v>
      </c>
      <c r="G930" s="12" t="s">
        <v>222</v>
      </c>
      <c r="H930" s="57" t="str">
        <f>Table1[[#This Row],[Tabela]]&amp;Table1[[#This Row],[Campo]]</f>
        <v>modesg_inp_emss_vclsnome_estado</v>
      </c>
      <c r="I930" s="2" t="s">
        <v>612</v>
      </c>
      <c r="J930" s="45">
        <f>VLOOKUP(Table1[[#This Row],[Status]],Auxiliar!$B$16:$C$24,2,0)</f>
        <v>1</v>
      </c>
      <c r="K930" s="20" t="s">
        <v>1198</v>
      </c>
      <c r="L930" s="20" t="s">
        <v>1193</v>
      </c>
      <c r="M930" s="20" t="s">
        <v>1195</v>
      </c>
      <c r="N930" s="47">
        <v>45546</v>
      </c>
      <c r="O930" s="20">
        <f>INDEX(Auxiliar!$D$5:$F$13,MATCH(Table1[[#This Row],[Tipologia_Testes]],Auxiliar!$B$5:$B$13,0),MATCH(Table1[[#This Row],[Complexidade]],Auxiliar!$D$4:$F$4,0))</f>
        <v>0.5</v>
      </c>
      <c r="P930" s="2" t="s">
        <v>1247</v>
      </c>
      <c r="Q930" s="2"/>
      <c r="R930" s="151">
        <v>45261</v>
      </c>
      <c r="S930" s="151"/>
      <c r="T930" s="151"/>
      <c r="U930" s="151">
        <v>45603</v>
      </c>
      <c r="V930" s="151">
        <v>45534</v>
      </c>
      <c r="W930" s="2">
        <f>VLOOKUP(Table1[[#This Row],[Status]],Auxiliar!$B$16:$D$24,3,0)*Table1[[#This Row],[Estimação (horas)]]</f>
        <v>0.5</v>
      </c>
      <c r="X930" s="2"/>
    </row>
    <row r="931" spans="2:24" ht="17.7" hidden="1" customHeight="1">
      <c r="B931" s="12" t="s">
        <v>26</v>
      </c>
      <c r="C931" s="12" t="s">
        <v>181</v>
      </c>
      <c r="D931" s="12" t="s">
        <v>1237</v>
      </c>
      <c r="E931" s="2" t="s">
        <v>38</v>
      </c>
      <c r="F931" s="12" t="s">
        <v>212</v>
      </c>
      <c r="G931" s="12" t="s">
        <v>223</v>
      </c>
      <c r="H931" s="57" t="str">
        <f>Table1[[#This Row],[Tabela]]&amp;Table1[[#This Row],[Campo]]</f>
        <v>modesg_inp_emss_vclstipo_veiculo</v>
      </c>
      <c r="I931" s="2" t="s">
        <v>612</v>
      </c>
      <c r="J931" s="45">
        <f>VLOOKUP(Table1[[#This Row],[Status]],Auxiliar!$B$16:$C$24,2,0)</f>
        <v>1</v>
      </c>
      <c r="K931" s="20" t="s">
        <v>1190</v>
      </c>
      <c r="L931" s="20" t="s">
        <v>1193</v>
      </c>
      <c r="M931" s="20" t="s">
        <v>1195</v>
      </c>
      <c r="N931" s="47">
        <v>45546</v>
      </c>
      <c r="O931" s="20">
        <f>INDEX(Auxiliar!$D$5:$F$13,MATCH(Table1[[#This Row],[Tipologia_Testes]],Auxiliar!$B$5:$B$13,0),MATCH(Table1[[#This Row],[Complexidade]],Auxiliar!$D$4:$F$4,0))</f>
        <v>0.1</v>
      </c>
      <c r="P931" s="2" t="s">
        <v>1248</v>
      </c>
      <c r="Q931" s="2"/>
      <c r="R931" s="151">
        <v>45261</v>
      </c>
      <c r="S931" s="151"/>
      <c r="T931" s="151"/>
      <c r="U931" s="151">
        <v>45603</v>
      </c>
      <c r="V931" s="151">
        <v>45534</v>
      </c>
      <c r="W931" s="2">
        <f>VLOOKUP(Table1[[#This Row],[Status]],Auxiliar!$B$16:$D$24,3,0)*Table1[[#This Row],[Estimação (horas)]]</f>
        <v>0.1</v>
      </c>
      <c r="X931" s="2"/>
    </row>
    <row r="932" spans="2:24" ht="17.7" hidden="1" customHeight="1">
      <c r="B932" s="12" t="s">
        <v>26</v>
      </c>
      <c r="C932" s="12" t="s">
        <v>181</v>
      </c>
      <c r="D932" s="12" t="s">
        <v>1237</v>
      </c>
      <c r="E932" s="2" t="s">
        <v>38</v>
      </c>
      <c r="F932" s="12" t="s">
        <v>212</v>
      </c>
      <c r="G932" s="12" t="s">
        <v>223</v>
      </c>
      <c r="H932" s="57" t="str">
        <f>Table1[[#This Row],[Tabela]]&amp;Table1[[#This Row],[Campo]]</f>
        <v>modesg_inp_emss_vclstipo_veiculo</v>
      </c>
      <c r="I932" s="2" t="s">
        <v>612</v>
      </c>
      <c r="J932" s="45">
        <f>VLOOKUP(Table1[[#This Row],[Status]],Auxiliar!$B$16:$C$24,2,0)</f>
        <v>1</v>
      </c>
      <c r="K932" s="20" t="s">
        <v>1198</v>
      </c>
      <c r="L932" s="20" t="s">
        <v>1193</v>
      </c>
      <c r="M932" s="20" t="s">
        <v>1195</v>
      </c>
      <c r="N932" s="47">
        <v>45546</v>
      </c>
      <c r="O932" s="20">
        <f>INDEX(Auxiliar!$D$5:$F$13,MATCH(Table1[[#This Row],[Tipologia_Testes]],Auxiliar!$B$5:$B$13,0),MATCH(Table1[[#This Row],[Complexidade]],Auxiliar!$D$4:$F$4,0))</f>
        <v>0.5</v>
      </c>
      <c r="P932" s="2" t="s">
        <v>1247</v>
      </c>
      <c r="Q932" s="2"/>
      <c r="R932" s="151">
        <v>45261</v>
      </c>
      <c r="S932" s="151"/>
      <c r="T932" s="151"/>
      <c r="U932" s="151">
        <v>45603</v>
      </c>
      <c r="V932" s="151">
        <v>45534</v>
      </c>
      <c r="W932" s="2">
        <f>VLOOKUP(Table1[[#This Row],[Status]],Auxiliar!$B$16:$D$24,3,0)*Table1[[#This Row],[Estimação (horas)]]</f>
        <v>0.5</v>
      </c>
      <c r="X932" s="2"/>
    </row>
    <row r="933" spans="2:24" ht="17.7" hidden="1" customHeight="1">
      <c r="B933" s="12" t="s">
        <v>26</v>
      </c>
      <c r="C933" s="12" t="s">
        <v>181</v>
      </c>
      <c r="D933" s="12" t="s">
        <v>1237</v>
      </c>
      <c r="E933" s="2" t="s">
        <v>38</v>
      </c>
      <c r="F933" s="12" t="s">
        <v>212</v>
      </c>
      <c r="G933" s="12" t="s">
        <v>224</v>
      </c>
      <c r="H933" s="57" t="str">
        <f>Table1[[#This Row],[Tabela]]&amp;Table1[[#This Row],[Campo]]</f>
        <v>modesg_inp_emss_vclstipo_motor</v>
      </c>
      <c r="I933" s="2" t="s">
        <v>612</v>
      </c>
      <c r="J933" s="45">
        <f>VLOOKUP(Table1[[#This Row],[Status]],Auxiliar!$B$16:$C$24,2,0)</f>
        <v>1</v>
      </c>
      <c r="K933" s="20" t="s">
        <v>1190</v>
      </c>
      <c r="L933" s="20" t="s">
        <v>1193</v>
      </c>
      <c r="M933" s="20" t="s">
        <v>1195</v>
      </c>
      <c r="N933" s="47">
        <v>45546</v>
      </c>
      <c r="O933" s="20">
        <f>INDEX(Auxiliar!$D$5:$F$13,MATCH(Table1[[#This Row],[Tipologia_Testes]],Auxiliar!$B$5:$B$13,0),MATCH(Table1[[#This Row],[Complexidade]],Auxiliar!$D$4:$F$4,0))</f>
        <v>0.1</v>
      </c>
      <c r="P933" s="2" t="s">
        <v>1248</v>
      </c>
      <c r="Q933" s="2"/>
      <c r="R933" s="151">
        <v>45261</v>
      </c>
      <c r="S933" s="151"/>
      <c r="T933" s="151"/>
      <c r="U933" s="151">
        <v>45603</v>
      </c>
      <c r="V933" s="151">
        <v>45534</v>
      </c>
      <c r="W933" s="2">
        <f>VLOOKUP(Table1[[#This Row],[Status]],Auxiliar!$B$16:$D$24,3,0)*Table1[[#This Row],[Estimação (horas)]]</f>
        <v>0.1</v>
      </c>
      <c r="X933" s="2"/>
    </row>
    <row r="934" spans="2:24" ht="17.7" hidden="1" customHeight="1">
      <c r="B934" s="12" t="s">
        <v>26</v>
      </c>
      <c r="C934" s="12" t="s">
        <v>181</v>
      </c>
      <c r="D934" s="12" t="s">
        <v>1237</v>
      </c>
      <c r="E934" s="2" t="s">
        <v>38</v>
      </c>
      <c r="F934" s="12" t="s">
        <v>212</v>
      </c>
      <c r="G934" s="12" t="s">
        <v>224</v>
      </c>
      <c r="H934" s="57" t="str">
        <f>Table1[[#This Row],[Tabela]]&amp;Table1[[#This Row],[Campo]]</f>
        <v>modesg_inp_emss_vclstipo_motor</v>
      </c>
      <c r="I934" s="2" t="s">
        <v>612</v>
      </c>
      <c r="J934" s="45">
        <f>VLOOKUP(Table1[[#This Row],[Status]],Auxiliar!$B$16:$C$24,2,0)</f>
        <v>1</v>
      </c>
      <c r="K934" s="20" t="s">
        <v>1198</v>
      </c>
      <c r="L934" s="20" t="s">
        <v>1193</v>
      </c>
      <c r="M934" s="20" t="s">
        <v>1195</v>
      </c>
      <c r="N934" s="47">
        <v>45546</v>
      </c>
      <c r="O934" s="20">
        <f>INDEX(Auxiliar!$D$5:$F$13,MATCH(Table1[[#This Row],[Tipologia_Testes]],Auxiliar!$B$5:$B$13,0),MATCH(Table1[[#This Row],[Complexidade]],Auxiliar!$D$4:$F$4,0))</f>
        <v>0.5</v>
      </c>
      <c r="P934" s="2" t="s">
        <v>1247</v>
      </c>
      <c r="Q934" s="2"/>
      <c r="R934" s="151">
        <v>45261</v>
      </c>
      <c r="S934" s="151"/>
      <c r="T934" s="151"/>
      <c r="U934" s="151">
        <v>45603</v>
      </c>
      <c r="V934" s="151">
        <v>45534</v>
      </c>
      <c r="W934" s="2">
        <f>VLOOKUP(Table1[[#This Row],[Status]],Auxiliar!$B$16:$D$24,3,0)*Table1[[#This Row],[Estimação (horas)]]</f>
        <v>0.5</v>
      </c>
      <c r="X934" s="2"/>
    </row>
    <row r="935" spans="2:24" ht="17.7" hidden="1" customHeight="1">
      <c r="B935" s="12" t="s">
        <v>26</v>
      </c>
      <c r="C935" s="12" t="s">
        <v>181</v>
      </c>
      <c r="D935" s="12" t="s">
        <v>1237</v>
      </c>
      <c r="E935" s="2" t="s">
        <v>38</v>
      </c>
      <c r="F935" s="12" t="s">
        <v>212</v>
      </c>
      <c r="G935" s="12" t="s">
        <v>225</v>
      </c>
      <c r="H935" s="57" t="str">
        <f>Table1[[#This Row],[Tabela]]&amp;Table1[[#This Row],[Campo]]</f>
        <v>modesg_inp_emss_vclsmarca</v>
      </c>
      <c r="I935" s="2" t="s">
        <v>612</v>
      </c>
      <c r="J935" s="45">
        <f>VLOOKUP(Table1[[#This Row],[Status]],Auxiliar!$B$16:$C$24,2,0)</f>
        <v>1</v>
      </c>
      <c r="K935" s="20" t="s">
        <v>1190</v>
      </c>
      <c r="L935" s="2" t="s">
        <v>1185</v>
      </c>
      <c r="M935" s="20" t="s">
        <v>1195</v>
      </c>
      <c r="N935" s="47">
        <v>45546</v>
      </c>
      <c r="O935" s="20">
        <f>INDEX(Auxiliar!$D$5:$F$13,MATCH(Table1[[#This Row],[Tipologia_Testes]],Auxiliar!$B$5:$B$13,0),MATCH(Table1[[#This Row],[Complexidade]],Auxiliar!$D$4:$F$4,0))</f>
        <v>0.1</v>
      </c>
      <c r="P935" s="2" t="s">
        <v>1248</v>
      </c>
      <c r="Q935" s="2"/>
      <c r="R935" s="151">
        <v>45261</v>
      </c>
      <c r="S935" s="151"/>
      <c r="T935" s="151"/>
      <c r="U935" s="151">
        <v>45603</v>
      </c>
      <c r="V935" s="151">
        <v>45534</v>
      </c>
      <c r="W935" s="2">
        <f>VLOOKUP(Table1[[#This Row],[Status]],Auxiliar!$B$16:$D$24,3,0)*Table1[[#This Row],[Estimação (horas)]]</f>
        <v>0.1</v>
      </c>
      <c r="X935" s="2"/>
    </row>
    <row r="936" spans="2:24" ht="69.599999999999994" hidden="1" customHeight="1">
      <c r="B936" s="12" t="s">
        <v>26</v>
      </c>
      <c r="C936" s="12" t="s">
        <v>181</v>
      </c>
      <c r="D936" s="12" t="s">
        <v>1237</v>
      </c>
      <c r="E936" s="2" t="s">
        <v>38</v>
      </c>
      <c r="F936" s="12" t="s">
        <v>212</v>
      </c>
      <c r="G936" s="12" t="s">
        <v>225</v>
      </c>
      <c r="H936" s="57" t="str">
        <f>Table1[[#This Row],[Tabela]]&amp;Table1[[#This Row],[Campo]]</f>
        <v>modesg_inp_emss_vclsmarca</v>
      </c>
      <c r="I936" s="2" t="s">
        <v>612</v>
      </c>
      <c r="J936" s="45">
        <f>VLOOKUP(Table1[[#This Row],[Status]],Auxiliar!$B$16:$C$24,2,0)</f>
        <v>1</v>
      </c>
      <c r="K936" s="20" t="s">
        <v>1198</v>
      </c>
      <c r="L936" s="2" t="s">
        <v>1185</v>
      </c>
      <c r="M936" s="20" t="s">
        <v>1195</v>
      </c>
      <c r="N936" s="47">
        <v>45546</v>
      </c>
      <c r="O936" s="20">
        <f>INDEX(Auxiliar!$D$5:$F$13,MATCH(Table1[[#This Row],[Tipologia_Testes]],Auxiliar!$B$5:$B$13,0),MATCH(Table1[[#This Row],[Complexidade]],Auxiliar!$D$4:$F$4,0))</f>
        <v>0.5</v>
      </c>
      <c r="P936" s="22" t="s">
        <v>1249</v>
      </c>
      <c r="Q936" s="2"/>
      <c r="R936" s="151">
        <v>45261</v>
      </c>
      <c r="S936" s="151"/>
      <c r="T936" s="151"/>
      <c r="U936" s="151">
        <v>45603</v>
      </c>
      <c r="V936" s="151">
        <v>45534</v>
      </c>
      <c r="W936" s="2">
        <f>VLOOKUP(Table1[[#This Row],[Status]],Auxiliar!$B$16:$D$24,3,0)*Table1[[#This Row],[Estimação (horas)]]</f>
        <v>0.5</v>
      </c>
      <c r="X936" s="2"/>
    </row>
    <row r="937" spans="2:24" ht="17.7" hidden="1" customHeight="1">
      <c r="B937" s="12" t="s">
        <v>26</v>
      </c>
      <c r="C937" s="12" t="s">
        <v>181</v>
      </c>
      <c r="D937" s="12" t="s">
        <v>1237</v>
      </c>
      <c r="E937" s="2" t="s">
        <v>38</v>
      </c>
      <c r="F937" s="12" t="s">
        <v>212</v>
      </c>
      <c r="G937" s="12" t="s">
        <v>226</v>
      </c>
      <c r="H937" s="57" t="str">
        <f>Table1[[#This Row],[Tabela]]&amp;Table1[[#This Row],[Campo]]</f>
        <v>modesg_inp_emss_vclsmodelo</v>
      </c>
      <c r="I937" s="2" t="s">
        <v>612</v>
      </c>
      <c r="J937" s="45">
        <f>VLOOKUP(Table1[[#This Row],[Status]],Auxiliar!$B$16:$C$24,2,0)</f>
        <v>1</v>
      </c>
      <c r="K937" s="20" t="s">
        <v>1190</v>
      </c>
      <c r="L937" s="2" t="s">
        <v>1185</v>
      </c>
      <c r="M937" s="20" t="s">
        <v>1195</v>
      </c>
      <c r="N937" s="47">
        <v>45546</v>
      </c>
      <c r="O937" s="20">
        <f>INDEX(Auxiliar!$D$5:$F$13,MATCH(Table1[[#This Row],[Tipologia_Testes]],Auxiliar!$B$5:$B$13,0),MATCH(Table1[[#This Row],[Complexidade]],Auxiliar!$D$4:$F$4,0))</f>
        <v>0.1</v>
      </c>
      <c r="P937" s="2" t="s">
        <v>1248</v>
      </c>
      <c r="Q937" s="2"/>
      <c r="R937" s="151">
        <v>45261</v>
      </c>
      <c r="S937" s="151"/>
      <c r="T937" s="151"/>
      <c r="U937" s="151">
        <v>45603</v>
      </c>
      <c r="V937" s="151">
        <v>45534</v>
      </c>
      <c r="W937" s="2">
        <f>VLOOKUP(Table1[[#This Row],[Status]],Auxiliar!$B$16:$D$24,3,0)*Table1[[#This Row],[Estimação (horas)]]</f>
        <v>0.1</v>
      </c>
      <c r="X937" s="2"/>
    </row>
    <row r="938" spans="2:24" ht="69.599999999999994" hidden="1" customHeight="1">
      <c r="B938" s="12" t="s">
        <v>26</v>
      </c>
      <c r="C938" s="12" t="s">
        <v>181</v>
      </c>
      <c r="D938" s="12" t="s">
        <v>1237</v>
      </c>
      <c r="E938" s="2" t="s">
        <v>38</v>
      </c>
      <c r="F938" s="12" t="s">
        <v>212</v>
      </c>
      <c r="G938" s="12" t="s">
        <v>226</v>
      </c>
      <c r="H938" s="57" t="str">
        <f>Table1[[#This Row],[Tabela]]&amp;Table1[[#This Row],[Campo]]</f>
        <v>modesg_inp_emss_vclsmodelo</v>
      </c>
      <c r="I938" s="2" t="s">
        <v>612</v>
      </c>
      <c r="J938" s="45">
        <f>VLOOKUP(Table1[[#This Row],[Status]],Auxiliar!$B$16:$C$24,2,0)</f>
        <v>1</v>
      </c>
      <c r="K938" s="20" t="s">
        <v>1198</v>
      </c>
      <c r="L938" s="2" t="s">
        <v>1185</v>
      </c>
      <c r="M938" s="20" t="s">
        <v>1195</v>
      </c>
      <c r="N938" s="47">
        <v>45546</v>
      </c>
      <c r="O938" s="20">
        <f>INDEX(Auxiliar!$D$5:$F$13,MATCH(Table1[[#This Row],[Tipologia_Testes]],Auxiliar!$B$5:$B$13,0),MATCH(Table1[[#This Row],[Complexidade]],Auxiliar!$D$4:$F$4,0))</f>
        <v>0.5</v>
      </c>
      <c r="P938" s="22" t="s">
        <v>1249</v>
      </c>
      <c r="Q938" s="2"/>
      <c r="R938" s="151">
        <v>45261</v>
      </c>
      <c r="S938" s="151"/>
      <c r="T938" s="151"/>
      <c r="U938" s="151">
        <v>45603</v>
      </c>
      <c r="V938" s="151">
        <v>45534</v>
      </c>
      <c r="W938" s="2">
        <f>VLOOKUP(Table1[[#This Row],[Status]],Auxiliar!$B$16:$D$24,3,0)*Table1[[#This Row],[Estimação (horas)]]</f>
        <v>0.5</v>
      </c>
      <c r="X938" s="2"/>
    </row>
    <row r="939" spans="2:24" ht="17.7" hidden="1" customHeight="1">
      <c r="B939" s="12" t="s">
        <v>26</v>
      </c>
      <c r="C939" s="12" t="s">
        <v>181</v>
      </c>
      <c r="D939" s="12" t="s">
        <v>1237</v>
      </c>
      <c r="E939" s="2" t="s">
        <v>38</v>
      </c>
      <c r="F939" s="12" t="s">
        <v>212</v>
      </c>
      <c r="G939" s="12" t="s">
        <v>227</v>
      </c>
      <c r="H939" s="57" t="str">
        <f>Table1[[#This Row],[Tabela]]&amp;Table1[[#This Row],[Campo]]</f>
        <v>modesg_inp_emss_vclssubgrupo</v>
      </c>
      <c r="I939" s="2" t="s">
        <v>612</v>
      </c>
      <c r="J939" s="45">
        <f>VLOOKUP(Table1[[#This Row],[Status]],Auxiliar!$B$16:$C$24,2,0)</f>
        <v>1</v>
      </c>
      <c r="K939" s="20" t="s">
        <v>1190</v>
      </c>
      <c r="L939" s="2" t="s">
        <v>649</v>
      </c>
      <c r="M939" s="20" t="s">
        <v>1195</v>
      </c>
      <c r="N939" s="47">
        <v>45546</v>
      </c>
      <c r="O939" s="20">
        <f>INDEX(Auxiliar!$D$5:$F$13,MATCH(Table1[[#This Row],[Tipologia_Testes]],Auxiliar!$B$5:$B$13,0),MATCH(Table1[[#This Row],[Complexidade]],Auxiliar!$D$4:$F$4,0))</f>
        <v>0.1</v>
      </c>
      <c r="P939" s="2" t="s">
        <v>1248</v>
      </c>
      <c r="Q939" s="2"/>
      <c r="R939" s="151">
        <v>45261</v>
      </c>
      <c r="S939" s="151"/>
      <c r="T939" s="151"/>
      <c r="U939" s="151">
        <v>45603</v>
      </c>
      <c r="V939" s="151">
        <v>45534</v>
      </c>
      <c r="W939" s="2">
        <f>VLOOKUP(Table1[[#This Row],[Status]],Auxiliar!$B$16:$D$24,3,0)*Table1[[#This Row],[Estimação (horas)]]</f>
        <v>0.1</v>
      </c>
      <c r="X939" s="2"/>
    </row>
    <row r="940" spans="2:24" ht="17.7" hidden="1" customHeight="1">
      <c r="B940" s="12" t="s">
        <v>26</v>
      </c>
      <c r="C940" s="12" t="s">
        <v>181</v>
      </c>
      <c r="D940" s="12" t="s">
        <v>1237</v>
      </c>
      <c r="E940" s="2" t="s">
        <v>38</v>
      </c>
      <c r="F940" s="12" t="s">
        <v>212</v>
      </c>
      <c r="G940" s="12" t="s">
        <v>227</v>
      </c>
      <c r="H940" s="57" t="str">
        <f>Table1[[#This Row],[Tabela]]&amp;Table1[[#This Row],[Campo]]</f>
        <v>modesg_inp_emss_vclssubgrupo</v>
      </c>
      <c r="I940" s="2" t="s">
        <v>612</v>
      </c>
      <c r="J940" s="45">
        <f>VLOOKUP(Table1[[#This Row],[Status]],Auxiliar!$B$16:$C$24,2,0)</f>
        <v>1</v>
      </c>
      <c r="K940" s="20" t="s">
        <v>1198</v>
      </c>
      <c r="L940" s="2" t="s">
        <v>649</v>
      </c>
      <c r="M940" s="20" t="s">
        <v>1195</v>
      </c>
      <c r="N940" s="47">
        <v>45546</v>
      </c>
      <c r="O940" s="20">
        <f>INDEX(Auxiliar!$D$5:$F$13,MATCH(Table1[[#This Row],[Tipologia_Testes]],Auxiliar!$B$5:$B$13,0),MATCH(Table1[[#This Row],[Complexidade]],Auxiliar!$D$4:$F$4,0))</f>
        <v>0.5</v>
      </c>
      <c r="P940" s="2" t="s">
        <v>1247</v>
      </c>
      <c r="Q940" s="2"/>
      <c r="R940" s="151">
        <v>45261</v>
      </c>
      <c r="S940" s="151"/>
      <c r="T940" s="151"/>
      <c r="U940" s="151">
        <v>45603</v>
      </c>
      <c r="V940" s="151">
        <v>45534</v>
      </c>
      <c r="W940" s="2">
        <f>VLOOKUP(Table1[[#This Row],[Status]],Auxiliar!$B$16:$D$24,3,0)*Table1[[#This Row],[Estimação (horas)]]</f>
        <v>0.5</v>
      </c>
      <c r="X940" s="2"/>
    </row>
    <row r="941" spans="2:24" ht="17.7" hidden="1" customHeight="1">
      <c r="B941" s="12" t="s">
        <v>26</v>
      </c>
      <c r="C941" s="12" t="s">
        <v>181</v>
      </c>
      <c r="D941" s="12" t="s">
        <v>1237</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1190</v>
      </c>
      <c r="L941" s="20" t="s">
        <v>1193</v>
      </c>
      <c r="M941" s="20" t="s">
        <v>1195</v>
      </c>
      <c r="N941" s="47">
        <v>45546</v>
      </c>
      <c r="O941" s="20">
        <f>INDEX(Auxiliar!$D$5:$F$13,MATCH(Table1[[#This Row],[Tipologia_Testes]],Auxiliar!$B$5:$B$13,0),MATCH(Table1[[#This Row],[Complexidade]],Auxiliar!$D$4:$F$4,0))</f>
        <v>0.1</v>
      </c>
      <c r="P941" s="2" t="s">
        <v>1248</v>
      </c>
      <c r="Q941" s="2"/>
      <c r="R941" s="151">
        <v>45261</v>
      </c>
      <c r="S941" s="151"/>
      <c r="T941" s="151"/>
      <c r="U941" s="151">
        <v>45603</v>
      </c>
      <c r="V941" s="151">
        <v>45534</v>
      </c>
      <c r="W941" s="2">
        <f>VLOOKUP(Table1[[#This Row],[Status]],Auxiliar!$B$16:$D$24,3,0)*Table1[[#This Row],[Estimação (horas)]]</f>
        <v>0.1</v>
      </c>
      <c r="X941" s="2"/>
    </row>
    <row r="942" spans="2:24" ht="17.7" hidden="1" customHeight="1">
      <c r="B942" s="12" t="s">
        <v>26</v>
      </c>
      <c r="C942" s="12" t="s">
        <v>181</v>
      </c>
      <c r="D942" s="12" t="s">
        <v>1237</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1198</v>
      </c>
      <c r="L942" s="20" t="s">
        <v>1193</v>
      </c>
      <c r="M942" s="20" t="s">
        <v>1195</v>
      </c>
      <c r="N942" s="47">
        <v>45546</v>
      </c>
      <c r="O942" s="20">
        <f>INDEX(Auxiliar!$D$5:$F$13,MATCH(Table1[[#This Row],[Tipologia_Testes]],Auxiliar!$B$5:$B$13,0),MATCH(Table1[[#This Row],[Complexidade]],Auxiliar!$D$4:$F$4,0))</f>
        <v>0.5</v>
      </c>
      <c r="P942" s="2" t="s">
        <v>1247</v>
      </c>
      <c r="Q942" s="2"/>
      <c r="R942" s="151">
        <v>45261</v>
      </c>
      <c r="S942" s="151"/>
      <c r="T942" s="151"/>
      <c r="U942" s="151">
        <v>45603</v>
      </c>
      <c r="V942" s="151">
        <v>45534</v>
      </c>
      <c r="W942" s="2">
        <f>VLOOKUP(Table1[[#This Row],[Status]],Auxiliar!$B$16:$D$24,3,0)*Table1[[#This Row],[Estimação (horas)]]</f>
        <v>0.5</v>
      </c>
      <c r="X942" s="2"/>
    </row>
    <row r="943" spans="2:24" ht="17.7" hidden="1" customHeight="1">
      <c r="B943" s="12" t="s">
        <v>26</v>
      </c>
      <c r="C943" s="12" t="s">
        <v>181</v>
      </c>
      <c r="D943" s="12" t="s">
        <v>1237</v>
      </c>
      <c r="E943" s="2" t="s">
        <v>38</v>
      </c>
      <c r="F943" s="12" t="s">
        <v>212</v>
      </c>
      <c r="G943" s="12" t="s">
        <v>229</v>
      </c>
      <c r="H943" s="57" t="str">
        <f>Table1[[#This Row],[Tabela]]&amp;Table1[[#This Row],[Campo]]</f>
        <v>modesg_inp_emss_vclsunidade_funcional</v>
      </c>
      <c r="I943" s="2" t="s">
        <v>612</v>
      </c>
      <c r="J943" s="45">
        <f>VLOOKUP(Table1[[#This Row],[Status]],Auxiliar!$B$16:$C$24,2,0)</f>
        <v>1</v>
      </c>
      <c r="K943" s="20" t="s">
        <v>1190</v>
      </c>
      <c r="L943" s="20" t="s">
        <v>1193</v>
      </c>
      <c r="M943" s="20" t="s">
        <v>1195</v>
      </c>
      <c r="N943" s="47">
        <v>45546</v>
      </c>
      <c r="O943" s="20">
        <f>INDEX(Auxiliar!$D$5:$F$13,MATCH(Table1[[#This Row],[Tipologia_Testes]],Auxiliar!$B$5:$B$13,0),MATCH(Table1[[#This Row],[Complexidade]],Auxiliar!$D$4:$F$4,0))</f>
        <v>0.1</v>
      </c>
      <c r="P943" s="2" t="s">
        <v>1248</v>
      </c>
      <c r="Q943" s="2"/>
      <c r="R943" s="151">
        <v>45261</v>
      </c>
      <c r="S943" s="151"/>
      <c r="T943" s="151"/>
      <c r="U943" s="151">
        <v>45603</v>
      </c>
      <c r="V943" s="151">
        <v>45534</v>
      </c>
      <c r="W943" s="2">
        <f>VLOOKUP(Table1[[#This Row],[Status]],Auxiliar!$B$16:$D$24,3,0)*Table1[[#This Row],[Estimação (horas)]]</f>
        <v>0.1</v>
      </c>
      <c r="X943" s="2"/>
    </row>
    <row r="944" spans="2:24" ht="17.7" hidden="1" customHeight="1">
      <c r="B944" s="12" t="s">
        <v>26</v>
      </c>
      <c r="C944" s="12" t="s">
        <v>181</v>
      </c>
      <c r="D944" s="12" t="s">
        <v>1237</v>
      </c>
      <c r="E944" s="2" t="s">
        <v>38</v>
      </c>
      <c r="F944" s="12" t="s">
        <v>212</v>
      </c>
      <c r="G944" s="12" t="s">
        <v>229</v>
      </c>
      <c r="H944" s="57" t="str">
        <f>Table1[[#This Row],[Tabela]]&amp;Table1[[#This Row],[Campo]]</f>
        <v>modesg_inp_emss_vclsunidade_funcional</v>
      </c>
      <c r="I944" s="2" t="s">
        <v>612</v>
      </c>
      <c r="J944" s="45">
        <f>VLOOKUP(Table1[[#This Row],[Status]],Auxiliar!$B$16:$C$24,2,0)</f>
        <v>1</v>
      </c>
      <c r="K944" s="20" t="s">
        <v>1198</v>
      </c>
      <c r="L944" s="20" t="s">
        <v>1193</v>
      </c>
      <c r="M944" s="20" t="s">
        <v>1195</v>
      </c>
      <c r="N944" s="47">
        <v>45546</v>
      </c>
      <c r="O944" s="20">
        <f>INDEX(Auxiliar!$D$5:$F$13,MATCH(Table1[[#This Row],[Tipologia_Testes]],Auxiliar!$B$5:$B$13,0),MATCH(Table1[[#This Row],[Complexidade]],Auxiliar!$D$4:$F$4,0))</f>
        <v>0.5</v>
      </c>
      <c r="P944" s="2" t="s">
        <v>1247</v>
      </c>
      <c r="Q944" s="2"/>
      <c r="R944" s="151">
        <v>45261</v>
      </c>
      <c r="S944" s="151"/>
      <c r="T944" s="151"/>
      <c r="U944" s="151">
        <v>45603</v>
      </c>
      <c r="V944" s="151">
        <v>45534</v>
      </c>
      <c r="W944" s="2">
        <f>VLOOKUP(Table1[[#This Row],[Status]],Auxiliar!$B$16:$D$24,3,0)*Table1[[#This Row],[Estimação (horas)]]</f>
        <v>0.5</v>
      </c>
      <c r="X944" s="2"/>
    </row>
    <row r="945" spans="2:24" ht="17.7" hidden="1" customHeight="1">
      <c r="B945" s="12" t="s">
        <v>26</v>
      </c>
      <c r="C945" s="12" t="s">
        <v>181</v>
      </c>
      <c r="D945" s="12" t="s">
        <v>1237</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1190</v>
      </c>
      <c r="L945" s="20" t="s">
        <v>1193</v>
      </c>
      <c r="M945" s="20" t="s">
        <v>1195</v>
      </c>
      <c r="N945" s="47">
        <v>45546</v>
      </c>
      <c r="O945" s="20">
        <f>INDEX(Auxiliar!$D$5:$F$13,MATCH(Table1[[#This Row],[Tipologia_Testes]],Auxiliar!$B$5:$B$13,0),MATCH(Table1[[#This Row],[Complexidade]],Auxiliar!$D$4:$F$4,0))</f>
        <v>0.1</v>
      </c>
      <c r="P945" s="2" t="s">
        <v>1248</v>
      </c>
      <c r="Q945" s="2"/>
      <c r="R945" s="151">
        <v>45261</v>
      </c>
      <c r="S945" s="151"/>
      <c r="T945" s="151"/>
      <c r="U945" s="151">
        <v>45603</v>
      </c>
      <c r="V945" s="151">
        <v>45534</v>
      </c>
      <c r="W945" s="2">
        <f>VLOOKUP(Table1[[#This Row],[Status]],Auxiliar!$B$16:$D$24,3,0)*Table1[[#This Row],[Estimação (horas)]]</f>
        <v>0.1</v>
      </c>
      <c r="X945" s="2"/>
    </row>
    <row r="946" spans="2:24" ht="17.7" hidden="1" customHeight="1">
      <c r="B946" s="12" t="s">
        <v>26</v>
      </c>
      <c r="C946" s="12" t="s">
        <v>181</v>
      </c>
      <c r="D946" s="12" t="s">
        <v>1237</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1198</v>
      </c>
      <c r="L946" s="20" t="s">
        <v>1193</v>
      </c>
      <c r="M946" s="20" t="s">
        <v>1195</v>
      </c>
      <c r="N946" s="47">
        <v>45546</v>
      </c>
      <c r="O946" s="20">
        <f>INDEX(Auxiliar!$D$5:$F$13,MATCH(Table1[[#This Row],[Tipologia_Testes]],Auxiliar!$B$5:$B$13,0),MATCH(Table1[[#This Row],[Complexidade]],Auxiliar!$D$4:$F$4,0))</f>
        <v>0.5</v>
      </c>
      <c r="P946" s="2" t="s">
        <v>1247</v>
      </c>
      <c r="Q946" s="2"/>
      <c r="R946" s="151">
        <v>45261</v>
      </c>
      <c r="S946" s="151"/>
      <c r="T946" s="151"/>
      <c r="U946" s="151">
        <v>45603</v>
      </c>
      <c r="V946" s="151">
        <v>45534</v>
      </c>
      <c r="W946" s="2">
        <f>VLOOKUP(Table1[[#This Row],[Status]],Auxiliar!$B$16:$D$24,3,0)*Table1[[#This Row],[Estimação (horas)]]</f>
        <v>0.5</v>
      </c>
      <c r="X946" s="2"/>
    </row>
    <row r="947" spans="2:24" ht="17.7" hidden="1" customHeight="1">
      <c r="B947" s="12" t="s">
        <v>26</v>
      </c>
      <c r="C947" s="12" t="s">
        <v>181</v>
      </c>
      <c r="D947" s="12" t="s">
        <v>1237</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1190</v>
      </c>
      <c r="L947" s="20" t="s">
        <v>1193</v>
      </c>
      <c r="M947" s="20" t="s">
        <v>1195</v>
      </c>
      <c r="N947" s="47">
        <v>45546</v>
      </c>
      <c r="O947" s="20">
        <f>INDEX(Auxiliar!$D$5:$F$13,MATCH(Table1[[#This Row],[Tipologia_Testes]],Auxiliar!$B$5:$B$13,0),MATCH(Table1[[#This Row],[Complexidade]],Auxiliar!$D$4:$F$4,0))</f>
        <v>0.1</v>
      </c>
      <c r="P947" s="2" t="s">
        <v>1248</v>
      </c>
      <c r="Q947" s="2"/>
      <c r="R947" s="151">
        <v>45261</v>
      </c>
      <c r="S947" s="151"/>
      <c r="T947" s="151"/>
      <c r="U947" s="151">
        <v>45603</v>
      </c>
      <c r="V947" s="151">
        <v>45534</v>
      </c>
      <c r="W947" s="2">
        <f>VLOOKUP(Table1[[#This Row],[Status]],Auxiliar!$B$16:$D$24,3,0)*Table1[[#This Row],[Estimação (horas)]]</f>
        <v>0.1</v>
      </c>
      <c r="X947" s="2"/>
    </row>
    <row r="948" spans="2:24" ht="17.7" hidden="1" customHeight="1">
      <c r="B948" s="12" t="s">
        <v>26</v>
      </c>
      <c r="C948" s="12" t="s">
        <v>181</v>
      </c>
      <c r="D948" s="12" t="s">
        <v>1237</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1198</v>
      </c>
      <c r="L948" s="20" t="s">
        <v>1193</v>
      </c>
      <c r="M948" s="20" t="s">
        <v>1195</v>
      </c>
      <c r="N948" s="47">
        <v>45546</v>
      </c>
      <c r="O948" s="20">
        <f>INDEX(Auxiliar!$D$5:$F$13,MATCH(Table1[[#This Row],[Tipologia_Testes]],Auxiliar!$B$5:$B$13,0),MATCH(Table1[[#This Row],[Complexidade]],Auxiliar!$D$4:$F$4,0))</f>
        <v>0.5</v>
      </c>
      <c r="P948" s="2" t="s">
        <v>1247</v>
      </c>
      <c r="Q948" s="2"/>
      <c r="R948" s="151">
        <v>45261</v>
      </c>
      <c r="S948" s="151"/>
      <c r="T948" s="151"/>
      <c r="U948" s="151">
        <v>45603</v>
      </c>
      <c r="V948" s="151">
        <v>45534</v>
      </c>
      <c r="W948" s="2">
        <f>VLOOKUP(Table1[[#This Row],[Status]],Auxiliar!$B$16:$D$24,3,0)*Table1[[#This Row],[Estimação (horas)]]</f>
        <v>0.5</v>
      </c>
      <c r="X948" s="2"/>
    </row>
    <row r="949" spans="2:24" ht="17.7" hidden="1" customHeight="1">
      <c r="B949" s="12" t="s">
        <v>26</v>
      </c>
      <c r="C949" s="12" t="s">
        <v>181</v>
      </c>
      <c r="D949" s="12" t="s">
        <v>1237</v>
      </c>
      <c r="E949" s="2" t="s">
        <v>38</v>
      </c>
      <c r="F949" s="12" t="s">
        <v>212</v>
      </c>
      <c r="G949" s="12" t="s">
        <v>232</v>
      </c>
      <c r="H949" s="57" t="str">
        <f>Table1[[#This Row],[Tabela]]&amp;Table1[[#This Row],[Campo]]</f>
        <v>modesg_inp_emss_vclsscore_qualidade</v>
      </c>
      <c r="I949" s="2" t="s">
        <v>612</v>
      </c>
      <c r="J949" s="45">
        <f>VLOOKUP(Table1[[#This Row],[Status]],Auxiliar!$B$16:$C$24,2,0)</f>
        <v>1</v>
      </c>
      <c r="K949" s="20" t="s">
        <v>1190</v>
      </c>
      <c r="L949" s="2" t="s">
        <v>1185</v>
      </c>
      <c r="M949" s="20" t="s">
        <v>1195</v>
      </c>
      <c r="N949" s="47">
        <v>45546</v>
      </c>
      <c r="O949" s="20">
        <f>INDEX(Auxiliar!$D$5:$F$13,MATCH(Table1[[#This Row],[Tipologia_Testes]],Auxiliar!$B$5:$B$13,0),MATCH(Table1[[#This Row],[Complexidade]],Auxiliar!$D$4:$F$4,0))</f>
        <v>0.1</v>
      </c>
      <c r="P949" s="2" t="s">
        <v>1248</v>
      </c>
      <c r="Q949" s="2"/>
      <c r="R949" s="151">
        <v>45261</v>
      </c>
      <c r="S949" s="151"/>
      <c r="T949" s="151"/>
      <c r="U949" s="151">
        <v>45603</v>
      </c>
      <c r="V949" s="151">
        <v>45534</v>
      </c>
      <c r="W949" s="2">
        <f>VLOOKUP(Table1[[#This Row],[Status]],Auxiliar!$B$16:$D$24,3,0)*Table1[[#This Row],[Estimação (horas)]]</f>
        <v>0.1</v>
      </c>
      <c r="X949" s="2"/>
    </row>
    <row r="950" spans="2:24" ht="69.599999999999994" hidden="1" customHeight="1">
      <c r="B950" s="12" t="s">
        <v>26</v>
      </c>
      <c r="C950" s="12" t="s">
        <v>181</v>
      </c>
      <c r="D950" s="12" t="s">
        <v>1237</v>
      </c>
      <c r="E950" s="2" t="s">
        <v>38</v>
      </c>
      <c r="F950" s="12" t="s">
        <v>212</v>
      </c>
      <c r="G950" s="12" t="s">
        <v>232</v>
      </c>
      <c r="H950" s="57" t="str">
        <f>Table1[[#This Row],[Tabela]]&amp;Table1[[#This Row],[Campo]]</f>
        <v>modesg_inp_emss_vclsscore_qualidade</v>
      </c>
      <c r="I950" s="2" t="s">
        <v>612</v>
      </c>
      <c r="J950" s="45">
        <f>VLOOKUP(Table1[[#This Row],[Status]],Auxiliar!$B$16:$C$24,2,0)</f>
        <v>1</v>
      </c>
      <c r="K950" s="20" t="s">
        <v>1198</v>
      </c>
      <c r="L950" s="2" t="s">
        <v>1185</v>
      </c>
      <c r="M950" s="20" t="s">
        <v>1195</v>
      </c>
      <c r="N950" s="47">
        <v>45546</v>
      </c>
      <c r="O950" s="20">
        <f>INDEX(Auxiliar!$D$5:$F$13,MATCH(Table1[[#This Row],[Tipologia_Testes]],Auxiliar!$B$5:$B$13,0),MATCH(Table1[[#This Row],[Complexidade]],Auxiliar!$D$4:$F$4,0))</f>
        <v>0.5</v>
      </c>
      <c r="P950" s="22" t="s">
        <v>1249</v>
      </c>
      <c r="Q950" s="2"/>
      <c r="R950" s="151">
        <v>45261</v>
      </c>
      <c r="S950" s="151"/>
      <c r="T950" s="151"/>
      <c r="U950" s="151">
        <v>45603</v>
      </c>
      <c r="V950" s="151">
        <v>45534</v>
      </c>
      <c r="W950" s="2">
        <f>VLOOKUP(Table1[[#This Row],[Status]],Auxiliar!$B$16:$D$24,3,0)*Table1[[#This Row],[Estimação (horas)]]</f>
        <v>0.5</v>
      </c>
      <c r="X950" s="2"/>
    </row>
    <row r="951" spans="2:24" ht="17.7" hidden="1" customHeight="1">
      <c r="B951" s="12" t="s">
        <v>26</v>
      </c>
      <c r="C951" s="12" t="s">
        <v>181</v>
      </c>
      <c r="D951" s="12" t="s">
        <v>1237</v>
      </c>
      <c r="E951" s="2" t="s">
        <v>38</v>
      </c>
      <c r="F951" s="12" t="s">
        <v>212</v>
      </c>
      <c r="G951" s="12" t="s">
        <v>233</v>
      </c>
      <c r="H951" s="57" t="str">
        <f>Table1[[#This Row],[Tabela]]&amp;Table1[[#This Row],[Campo]]</f>
        <v>modesg_inp_emss_vclsscp1_ftr_emss</v>
      </c>
      <c r="I951" s="2" t="s">
        <v>612</v>
      </c>
      <c r="J951" s="45">
        <f>VLOOKUP(Table1[[#This Row],[Status]],Auxiliar!$B$16:$C$24,2,0)</f>
        <v>1</v>
      </c>
      <c r="K951" s="20" t="s">
        <v>1190</v>
      </c>
      <c r="L951" s="2" t="s">
        <v>1185</v>
      </c>
      <c r="M951" s="20" t="s">
        <v>1195</v>
      </c>
      <c r="N951" s="47">
        <v>45546</v>
      </c>
      <c r="O951" s="20">
        <f>INDEX(Auxiliar!$D$5:$F$13,MATCH(Table1[[#This Row],[Tipologia_Testes]],Auxiliar!$B$5:$B$13,0),MATCH(Table1[[#This Row],[Complexidade]],Auxiliar!$D$4:$F$4,0))</f>
        <v>0.1</v>
      </c>
      <c r="P951" s="2" t="s">
        <v>1250</v>
      </c>
      <c r="Q951" s="2"/>
      <c r="R951" s="151">
        <v>45261</v>
      </c>
      <c r="S951" s="151"/>
      <c r="T951" s="151"/>
      <c r="U951" s="151">
        <v>45603</v>
      </c>
      <c r="V951" s="151">
        <v>45534</v>
      </c>
      <c r="W951" s="2">
        <f>VLOOKUP(Table1[[#This Row],[Status]],Auxiliar!$B$16:$D$24,3,0)*Table1[[#This Row],[Estimação (horas)]]</f>
        <v>0.1</v>
      </c>
      <c r="X951" s="2"/>
    </row>
    <row r="952" spans="2:24" ht="69.599999999999994" hidden="1" customHeight="1">
      <c r="B952" s="12" t="s">
        <v>26</v>
      </c>
      <c r="C952" s="12" t="s">
        <v>181</v>
      </c>
      <c r="D952" s="12" t="s">
        <v>1237</v>
      </c>
      <c r="E952" s="2" t="s">
        <v>38</v>
      </c>
      <c r="F952" s="12" t="s">
        <v>212</v>
      </c>
      <c r="G952" s="12" t="s">
        <v>233</v>
      </c>
      <c r="H952" s="57" t="str">
        <f>Table1[[#This Row],[Tabela]]&amp;Table1[[#This Row],[Campo]]</f>
        <v>modesg_inp_emss_vclsscp1_ftr_emss</v>
      </c>
      <c r="I952" s="2" t="s">
        <v>612</v>
      </c>
      <c r="J952" s="45">
        <f>VLOOKUP(Table1[[#This Row],[Status]],Auxiliar!$B$16:$C$24,2,0)</f>
        <v>1</v>
      </c>
      <c r="K952" s="20" t="s">
        <v>1198</v>
      </c>
      <c r="L952" s="2" t="s">
        <v>1185</v>
      </c>
      <c r="M952" s="20" t="s">
        <v>1195</v>
      </c>
      <c r="N952" s="47">
        <v>45546</v>
      </c>
      <c r="O952" s="20">
        <f>INDEX(Auxiliar!$D$5:$F$13,MATCH(Table1[[#This Row],[Tipologia_Testes]],Auxiliar!$B$5:$B$13,0),MATCH(Table1[[#This Row],[Complexidade]],Auxiliar!$D$4:$F$4,0))</f>
        <v>0.5</v>
      </c>
      <c r="P952" s="22" t="s">
        <v>1249</v>
      </c>
      <c r="Q952" s="2"/>
      <c r="R952" s="151">
        <v>45261</v>
      </c>
      <c r="S952" s="151"/>
      <c r="T952" s="151"/>
      <c r="U952" s="151">
        <v>45603</v>
      </c>
      <c r="V952" s="151">
        <v>45534</v>
      </c>
      <c r="W952" s="2">
        <f>VLOOKUP(Table1[[#This Row],[Status]],Auxiliar!$B$16:$D$24,3,0)*Table1[[#This Row],[Estimação (horas)]]</f>
        <v>0.5</v>
      </c>
      <c r="X952" s="2"/>
    </row>
    <row r="953" spans="2:24" ht="17.7" hidden="1" customHeight="1">
      <c r="B953" s="12" t="s">
        <v>26</v>
      </c>
      <c r="C953" s="12" t="s">
        <v>181</v>
      </c>
      <c r="D953" s="12" t="s">
        <v>1237</v>
      </c>
      <c r="E953" s="2" t="s">
        <v>38</v>
      </c>
      <c r="F953" s="12" t="s">
        <v>212</v>
      </c>
      <c r="G953" s="12" t="s">
        <v>234</v>
      </c>
      <c r="H953" s="57" t="str">
        <f>Table1[[#This Row],[Tabela]]&amp;Table1[[#This Row],[Campo]]</f>
        <v>modesg_inp_emss_vclsscp2_ftr_emss</v>
      </c>
      <c r="I953" s="2" t="s">
        <v>612</v>
      </c>
      <c r="J953" s="45">
        <f>VLOOKUP(Table1[[#This Row],[Status]],Auxiliar!$B$16:$C$24,2,0)</f>
        <v>1</v>
      </c>
      <c r="K953" s="20" t="s">
        <v>1190</v>
      </c>
      <c r="L953" s="2" t="s">
        <v>1185</v>
      </c>
      <c r="M953" s="20" t="s">
        <v>1195</v>
      </c>
      <c r="N953" s="47">
        <v>45546</v>
      </c>
      <c r="O953" s="20">
        <f>INDEX(Auxiliar!$D$5:$F$13,MATCH(Table1[[#This Row],[Tipologia_Testes]],Auxiliar!$B$5:$B$13,0),MATCH(Table1[[#This Row],[Complexidade]],Auxiliar!$D$4:$F$4,0))</f>
        <v>0.1</v>
      </c>
      <c r="P953" s="2" t="s">
        <v>1250</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1237</v>
      </c>
      <c r="E954" s="2" t="s">
        <v>38</v>
      </c>
      <c r="F954" s="12" t="s">
        <v>212</v>
      </c>
      <c r="G954" s="12" t="s">
        <v>234</v>
      </c>
      <c r="H954" s="57" t="str">
        <f>Table1[[#This Row],[Tabela]]&amp;Table1[[#This Row],[Campo]]</f>
        <v>modesg_inp_emss_vclsscp2_ftr_emss</v>
      </c>
      <c r="I954" s="2" t="s">
        <v>612</v>
      </c>
      <c r="J954" s="45">
        <f>VLOOKUP(Table1[[#This Row],[Status]],Auxiliar!$B$16:$C$24,2,0)</f>
        <v>1</v>
      </c>
      <c r="K954" s="20" t="s">
        <v>1198</v>
      </c>
      <c r="L954" s="2" t="s">
        <v>1185</v>
      </c>
      <c r="M954" s="20" t="s">
        <v>1195</v>
      </c>
      <c r="N954" s="47">
        <v>45546</v>
      </c>
      <c r="O954" s="20">
        <f>INDEX(Auxiliar!$D$5:$F$13,MATCH(Table1[[#This Row],[Tipologia_Testes]],Auxiliar!$B$5:$B$13,0),MATCH(Table1[[#This Row],[Complexidade]],Auxiliar!$D$4:$F$4,0))</f>
        <v>0.5</v>
      </c>
      <c r="P954" s="22" t="s">
        <v>1249</v>
      </c>
      <c r="Q954" s="2"/>
      <c r="R954" s="151">
        <v>45261</v>
      </c>
      <c r="S954" s="151"/>
      <c r="T954" s="151"/>
      <c r="U954" s="151">
        <v>45603</v>
      </c>
      <c r="V954" s="151">
        <v>45534</v>
      </c>
      <c r="W954" s="2">
        <f>VLOOKUP(Table1[[#This Row],[Status]],Auxiliar!$B$16:$D$24,3,0)*Table1[[#This Row],[Estimação (horas)]]</f>
        <v>0.5</v>
      </c>
      <c r="X954" s="2"/>
    </row>
    <row r="955" spans="2:24" ht="17.7" hidden="1" customHeight="1">
      <c r="B955" s="12" t="s">
        <v>26</v>
      </c>
      <c r="C955" s="12" t="s">
        <v>181</v>
      </c>
      <c r="D955" s="12" t="s">
        <v>1237</v>
      </c>
      <c r="E955" s="2" t="s">
        <v>38</v>
      </c>
      <c r="F955" s="12" t="s">
        <v>212</v>
      </c>
      <c r="G955" s="12" t="s">
        <v>235</v>
      </c>
      <c r="H955" s="57" t="str">
        <f>Table1[[#This Row],[Tabela]]&amp;Table1[[#This Row],[Campo]]</f>
        <v>modesg_inp_emss_vclsscp3_ftr_emss</v>
      </c>
      <c r="I955" s="2" t="s">
        <v>612</v>
      </c>
      <c r="J955" s="45">
        <f>VLOOKUP(Table1[[#This Row],[Status]],Auxiliar!$B$16:$C$24,2,0)</f>
        <v>1</v>
      </c>
      <c r="K955" s="20" t="s">
        <v>1190</v>
      </c>
      <c r="L955" s="2" t="s">
        <v>1185</v>
      </c>
      <c r="M955" s="20" t="s">
        <v>1195</v>
      </c>
      <c r="N955" s="47">
        <v>45546</v>
      </c>
      <c r="O955" s="20">
        <f>INDEX(Auxiliar!$D$5:$F$13,MATCH(Table1[[#This Row],[Tipologia_Testes]],Auxiliar!$B$5:$B$13,0),MATCH(Table1[[#This Row],[Complexidade]],Auxiliar!$D$4:$F$4,0))</f>
        <v>0.1</v>
      </c>
      <c r="P955" s="2" t="s">
        <v>1251</v>
      </c>
      <c r="Q955" s="2"/>
      <c r="R955" s="151">
        <v>45261</v>
      </c>
      <c r="S955" s="151"/>
      <c r="T955" s="151"/>
      <c r="U955" s="151">
        <v>45603</v>
      </c>
      <c r="V955" s="151">
        <v>45534</v>
      </c>
      <c r="W955" s="2">
        <f>VLOOKUP(Table1[[#This Row],[Status]],Auxiliar!$B$16:$D$24,3,0)*Table1[[#This Row],[Estimação (horas)]]</f>
        <v>0.1</v>
      </c>
      <c r="X955" s="2"/>
    </row>
    <row r="956" spans="2:24" ht="52.2" hidden="1" customHeight="1">
      <c r="B956" s="12" t="s">
        <v>26</v>
      </c>
      <c r="C956" s="12" t="s">
        <v>181</v>
      </c>
      <c r="D956" s="12" t="s">
        <v>1237</v>
      </c>
      <c r="E956" s="2" t="s">
        <v>38</v>
      </c>
      <c r="F956" s="12" t="s">
        <v>212</v>
      </c>
      <c r="G956" s="12" t="s">
        <v>235</v>
      </c>
      <c r="H956" s="57" t="str">
        <f>Table1[[#This Row],[Tabela]]&amp;Table1[[#This Row],[Campo]]</f>
        <v>modesg_inp_emss_vclsscp3_ftr_emss</v>
      </c>
      <c r="I956" s="2" t="s">
        <v>612</v>
      </c>
      <c r="J956" s="45">
        <f>VLOOKUP(Table1[[#This Row],[Status]],Auxiliar!$B$16:$C$24,2,0)</f>
        <v>1</v>
      </c>
      <c r="K956" s="20" t="s">
        <v>1198</v>
      </c>
      <c r="L956" s="2" t="s">
        <v>1185</v>
      </c>
      <c r="M956" s="20" t="s">
        <v>1195</v>
      </c>
      <c r="N956" s="47">
        <v>45546</v>
      </c>
      <c r="O956" s="20">
        <f>INDEX(Auxiliar!$D$5:$F$13,MATCH(Table1[[#This Row],[Tipologia_Testes]],Auxiliar!$B$5:$B$13,0),MATCH(Table1[[#This Row],[Complexidade]],Auxiliar!$D$4:$F$4,0))</f>
        <v>0.5</v>
      </c>
      <c r="P956" s="22" t="s">
        <v>1252</v>
      </c>
      <c r="Q956" s="2"/>
      <c r="R956" s="151">
        <v>45261</v>
      </c>
      <c r="S956" s="151"/>
      <c r="T956" s="151"/>
      <c r="U956" s="151">
        <v>45603</v>
      </c>
      <c r="V956" s="151">
        <v>45534</v>
      </c>
      <c r="W956" s="2">
        <f>VLOOKUP(Table1[[#This Row],[Status]],Auxiliar!$B$16:$D$24,3,0)*Table1[[#This Row],[Estimação (horas)]]</f>
        <v>0.5</v>
      </c>
      <c r="X956" s="2"/>
    </row>
    <row r="957" spans="2:24" ht="17.7" hidden="1" customHeight="1">
      <c r="B957" s="12" t="s">
        <v>26</v>
      </c>
      <c r="C957" s="12" t="s">
        <v>181</v>
      </c>
      <c r="D957" s="12" t="s">
        <v>1237</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1198</v>
      </c>
      <c r="L957" s="27"/>
      <c r="M957" s="20" t="s">
        <v>1195</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7" hidden="1" customHeight="1">
      <c r="B958" s="12" t="s">
        <v>26</v>
      </c>
      <c r="C958" s="12" t="s">
        <v>181</v>
      </c>
      <c r="D958" s="12" t="s">
        <v>1237</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1190</v>
      </c>
      <c r="L958" s="27"/>
      <c r="M958" s="20" t="s">
        <v>1195</v>
      </c>
      <c r="N958" s="47">
        <v>45537</v>
      </c>
      <c r="O958" s="20">
        <f>INDEX(Auxiliar!$D$5:$F$13,MATCH(Table1[[#This Row],[Tipologia_Testes]],Auxiliar!$B$5:$B$13,0),MATCH(Table1[[#This Row],[Complexidade]],Auxiliar!$D$4:$F$4,0))</f>
        <v>0.1</v>
      </c>
      <c r="P958" s="2" t="s">
        <v>1253</v>
      </c>
      <c r="Q958" s="2"/>
      <c r="R958" s="151">
        <v>45261</v>
      </c>
      <c r="S958" s="151"/>
      <c r="T958" s="151"/>
      <c r="U958" s="151">
        <v>45603</v>
      </c>
      <c r="V958" s="151">
        <v>45534</v>
      </c>
      <c r="W958" s="2">
        <f>VLOOKUP(Table1[[#This Row],[Status]],Auxiliar!$B$16:$D$24,3,0)*Table1[[#This Row],[Estimação (horas)]]</f>
        <v>0.1</v>
      </c>
      <c r="X958" s="2"/>
    </row>
    <row r="959" spans="2:24" ht="17.7" hidden="1" customHeight="1">
      <c r="B959" s="12" t="s">
        <v>26</v>
      </c>
      <c r="C959" s="12" t="s">
        <v>181</v>
      </c>
      <c r="D959" s="12" t="s">
        <v>1237</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1198</v>
      </c>
      <c r="L959" s="27"/>
      <c r="M959" s="20" t="s">
        <v>1195</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7" hidden="1" customHeight="1">
      <c r="B960" s="12" t="s">
        <v>26</v>
      </c>
      <c r="C960" s="12" t="s">
        <v>181</v>
      </c>
      <c r="D960" s="12" t="s">
        <v>1237</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1190</v>
      </c>
      <c r="L960" s="2" t="s">
        <v>1185</v>
      </c>
      <c r="M960" s="20" t="s">
        <v>1195</v>
      </c>
      <c r="N960" s="47">
        <v>45537</v>
      </c>
      <c r="O960" s="20">
        <f>INDEX(Auxiliar!$D$5:$F$13,MATCH(Table1[[#This Row],[Tipologia_Testes]],Auxiliar!$B$5:$B$13,0),MATCH(Table1[[#This Row],[Complexidade]],Auxiliar!$D$4:$F$4,0))</f>
        <v>0.1</v>
      </c>
      <c r="P960" s="2" t="s">
        <v>1254</v>
      </c>
      <c r="Q960" s="2"/>
      <c r="R960" s="151">
        <v>45261</v>
      </c>
      <c r="S960" s="151"/>
      <c r="T960" s="151"/>
      <c r="U960" s="151">
        <v>45603</v>
      </c>
      <c r="V960" s="151">
        <v>45534</v>
      </c>
      <c r="W960" s="2">
        <f>VLOOKUP(Table1[[#This Row],[Status]],Auxiliar!$B$16:$D$24,3,0)*Table1[[#This Row],[Estimação (horas)]]</f>
        <v>0.1</v>
      </c>
      <c r="X960" s="2"/>
    </row>
    <row r="961" spans="2:24" ht="17.7" hidden="1" customHeight="1">
      <c r="B961" s="12" t="s">
        <v>26</v>
      </c>
      <c r="C961" s="12" t="s">
        <v>181</v>
      </c>
      <c r="D961" s="12" t="s">
        <v>1237</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1198</v>
      </c>
      <c r="L961" s="2" t="s">
        <v>1185</v>
      </c>
      <c r="M961" s="20" t="s">
        <v>1195</v>
      </c>
      <c r="N961" s="47">
        <v>45537</v>
      </c>
      <c r="O961" s="20">
        <f>INDEX(Auxiliar!$D$5:$F$13,MATCH(Table1[[#This Row],[Tipologia_Testes]],Auxiliar!$B$5:$B$13,0),MATCH(Table1[[#This Row],[Complexidade]],Auxiliar!$D$4:$F$4,0))</f>
        <v>0.5</v>
      </c>
      <c r="P961" s="2" t="s">
        <v>1255</v>
      </c>
      <c r="Q961" s="2"/>
      <c r="R961" s="151">
        <v>45261</v>
      </c>
      <c r="S961" s="151"/>
      <c r="T961" s="151"/>
      <c r="U961" s="151">
        <v>45603</v>
      </c>
      <c r="V961" s="151">
        <v>45534</v>
      </c>
      <c r="W961" s="2">
        <f>VLOOKUP(Table1[[#This Row],[Status]],Auxiliar!$B$16:$D$24,3,0)*Table1[[#This Row],[Estimação (horas)]]</f>
        <v>0.5</v>
      </c>
      <c r="X961" s="2"/>
    </row>
    <row r="962" spans="2:24" ht="17.7" hidden="1" customHeight="1">
      <c r="B962" s="12" t="s">
        <v>26</v>
      </c>
      <c r="C962" s="12" t="s">
        <v>181</v>
      </c>
      <c r="D962" s="12" t="s">
        <v>1237</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1190</v>
      </c>
      <c r="L962" s="27"/>
      <c r="M962" s="20" t="s">
        <v>1195</v>
      </c>
      <c r="N962" s="47">
        <v>45537</v>
      </c>
      <c r="O962" s="20">
        <f>INDEX(Auxiliar!$D$5:$F$13,MATCH(Table1[[#This Row],[Tipologia_Testes]],Auxiliar!$B$5:$B$13,0),MATCH(Table1[[#This Row],[Complexidade]],Auxiliar!$D$4:$F$4,0))</f>
        <v>0.1</v>
      </c>
      <c r="P962" s="2" t="s">
        <v>1253</v>
      </c>
      <c r="Q962" s="2"/>
      <c r="R962" s="151">
        <v>45261</v>
      </c>
      <c r="S962" s="151"/>
      <c r="T962" s="151"/>
      <c r="U962" s="151">
        <v>45603</v>
      </c>
      <c r="V962" s="151">
        <v>45534</v>
      </c>
      <c r="W962" s="2">
        <f>VLOOKUP(Table1[[#This Row],[Status]],Auxiliar!$B$16:$D$24,3,0)*Table1[[#This Row],[Estimação (horas)]]</f>
        <v>0.1</v>
      </c>
      <c r="X962" s="2"/>
    </row>
    <row r="963" spans="2:24" ht="17.7" hidden="1" customHeight="1">
      <c r="B963" s="12" t="s">
        <v>26</v>
      </c>
      <c r="C963" s="12" t="s">
        <v>181</v>
      </c>
      <c r="D963" s="12" t="s">
        <v>1237</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1198</v>
      </c>
      <c r="L963" s="27"/>
      <c r="M963" s="20" t="s">
        <v>1195</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7" hidden="1" customHeight="1">
      <c r="B964" s="12" t="s">
        <v>26</v>
      </c>
      <c r="C964" s="12" t="s">
        <v>181</v>
      </c>
      <c r="D964" s="12" t="s">
        <v>1237</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1190</v>
      </c>
      <c r="L964" s="2" t="s">
        <v>649</v>
      </c>
      <c r="M964" s="20" t="s">
        <v>1195</v>
      </c>
      <c r="N964" s="47">
        <v>45537</v>
      </c>
      <c r="O964" s="20">
        <f>INDEX(Auxiliar!$D$5:$F$13,MATCH(Table1[[#This Row],[Tipologia_Testes]],Auxiliar!$B$5:$B$13,0),MATCH(Table1[[#This Row],[Complexidade]],Auxiliar!$D$4:$F$4,0))</f>
        <v>0.1</v>
      </c>
      <c r="P964" s="2" t="s">
        <v>1253</v>
      </c>
      <c r="Q964" s="2"/>
      <c r="R964" s="151">
        <v>45261</v>
      </c>
      <c r="S964" s="151"/>
      <c r="T964" s="151"/>
      <c r="U964" s="151">
        <v>45603</v>
      </c>
      <c r="V964" s="151">
        <v>45534</v>
      </c>
      <c r="W964" s="2">
        <f>VLOOKUP(Table1[[#This Row],[Status]],Auxiliar!$B$16:$D$24,3,0)*Table1[[#This Row],[Estimação (horas)]]</f>
        <v>0.1</v>
      </c>
      <c r="X964" s="2"/>
    </row>
    <row r="965" spans="2:24" ht="17.7" hidden="1" customHeight="1">
      <c r="B965" s="12" t="s">
        <v>26</v>
      </c>
      <c r="C965" s="12" t="s">
        <v>181</v>
      </c>
      <c r="D965" s="12" t="s">
        <v>1237</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1198</v>
      </c>
      <c r="L965" s="2" t="s">
        <v>649</v>
      </c>
      <c r="M965" s="20" t="s">
        <v>1195</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7" hidden="1" customHeight="1">
      <c r="B966" s="12" t="s">
        <v>26</v>
      </c>
      <c r="C966" s="12" t="s">
        <v>181</v>
      </c>
      <c r="D966" s="12" t="s">
        <v>1237</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1190</v>
      </c>
      <c r="L966" s="27"/>
      <c r="M966" s="20" t="s">
        <v>1195</v>
      </c>
      <c r="N966" s="47">
        <v>45537</v>
      </c>
      <c r="O966" s="20">
        <f>INDEX(Auxiliar!$D$5:$F$13,MATCH(Table1[[#This Row],[Tipologia_Testes]],Auxiliar!$B$5:$B$13,0),MATCH(Table1[[#This Row],[Complexidade]],Auxiliar!$D$4:$F$4,0))</f>
        <v>0.1</v>
      </c>
      <c r="P966" s="2" t="s">
        <v>1253</v>
      </c>
      <c r="Q966" s="2"/>
      <c r="R966" s="151">
        <v>45261</v>
      </c>
      <c r="S966" s="151"/>
      <c r="T966" s="151"/>
      <c r="U966" s="151">
        <v>45603</v>
      </c>
      <c r="V966" s="151">
        <v>45534</v>
      </c>
      <c r="W966" s="2">
        <f>VLOOKUP(Table1[[#This Row],[Status]],Auxiliar!$B$16:$D$24,3,0)*Table1[[#This Row],[Estimação (horas)]]</f>
        <v>0.1</v>
      </c>
      <c r="X966" s="2"/>
    </row>
    <row r="967" spans="2:24" ht="17.7" hidden="1" customHeight="1">
      <c r="B967" s="12" t="s">
        <v>26</v>
      </c>
      <c r="C967" s="12" t="s">
        <v>181</v>
      </c>
      <c r="D967" s="12" t="s">
        <v>1237</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1198</v>
      </c>
      <c r="L967" s="27"/>
      <c r="M967" s="20" t="s">
        <v>1195</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7" hidden="1" customHeight="1">
      <c r="B968" s="12" t="s">
        <v>26</v>
      </c>
      <c r="C968" s="12" t="s">
        <v>181</v>
      </c>
      <c r="D968" s="12" t="s">
        <v>1241</v>
      </c>
      <c r="E968" s="2" t="s">
        <v>38</v>
      </c>
      <c r="F968" s="12" t="s">
        <v>214</v>
      </c>
      <c r="G968" s="12" t="s">
        <v>208</v>
      </c>
      <c r="H968" s="57" t="str">
        <f>Table1[[#This Row],[Tabela]]&amp;Table1[[#This Row],[Campo]]</f>
        <v>modesg_inp_empr_excl_parisref_date</v>
      </c>
      <c r="I968" s="3" t="s">
        <v>612</v>
      </c>
      <c r="J968" s="53">
        <f>VLOOKUP(Table1[[#This Row],[Status]],Auxiliar!$B$16:$C$24,2,0)</f>
        <v>1</v>
      </c>
      <c r="K968" s="20" t="s">
        <v>1198</v>
      </c>
      <c r="L968" s="2" t="s">
        <v>1193</v>
      </c>
      <c r="M968" s="20" t="s">
        <v>1195</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1256</v>
      </c>
    </row>
    <row r="969" spans="2:24" ht="17.7" hidden="1" customHeight="1">
      <c r="B969" s="12" t="s">
        <v>26</v>
      </c>
      <c r="C969" s="12" t="s">
        <v>181</v>
      </c>
      <c r="D969" s="12" t="s">
        <v>1241</v>
      </c>
      <c r="E969" s="2" t="s">
        <v>38</v>
      </c>
      <c r="F969" s="12" t="s">
        <v>214</v>
      </c>
      <c r="G969" s="12" t="s">
        <v>238</v>
      </c>
      <c r="H969" s="57" t="str">
        <f>Table1[[#This Row],[Tabela]]&amp;Table1[[#This Row],[Campo]]</f>
        <v>modesg_inp_empr_excl_parisisin</v>
      </c>
      <c r="I969" s="3" t="s">
        <v>612</v>
      </c>
      <c r="J969" s="53">
        <f>VLOOKUP(Table1[[#This Row],[Status]],Auxiliar!$B$16:$C$24,2,0)</f>
        <v>1</v>
      </c>
      <c r="K969" s="20" t="s">
        <v>1190</v>
      </c>
      <c r="L969" s="2" t="s">
        <v>1193</v>
      </c>
      <c r="M969" s="20" t="s">
        <v>1195</v>
      </c>
      <c r="N969" s="47">
        <v>45485</v>
      </c>
      <c r="O969" s="20">
        <f>INDEX(Auxiliar!$D$5:$F$13,MATCH(Table1[[#This Row],[Tipologia_Testes]],Auxiliar!$B$5:$B$13,0),MATCH(Table1[[#This Row],[Complexidade]],Auxiliar!$D$4:$F$4,0))</f>
        <v>0.1</v>
      </c>
      <c r="P969" s="2" t="s">
        <v>1257</v>
      </c>
      <c r="Q969" s="2"/>
      <c r="R969" s="151">
        <v>45261</v>
      </c>
      <c r="S969" s="151"/>
      <c r="T969" s="151"/>
      <c r="U969" s="151">
        <v>45603</v>
      </c>
      <c r="V969" s="151"/>
      <c r="W969" s="2">
        <f>VLOOKUP(Table1[[#This Row],[Status]],Auxiliar!$B$16:$D$24,3,0)*Table1[[#This Row],[Estimação (horas)]]</f>
        <v>0.1</v>
      </c>
      <c r="X969" s="2" t="s">
        <v>1256</v>
      </c>
    </row>
    <row r="970" spans="2:24" ht="17.7" hidden="1" customHeight="1">
      <c r="B970" s="12" t="s">
        <v>26</v>
      </c>
      <c r="C970" s="12" t="s">
        <v>181</v>
      </c>
      <c r="D970" s="12" t="s">
        <v>1241</v>
      </c>
      <c r="E970" s="2" t="s">
        <v>38</v>
      </c>
      <c r="F970" s="12" t="s">
        <v>214</v>
      </c>
      <c r="G970" s="12" t="s">
        <v>238</v>
      </c>
      <c r="H970" s="57" t="str">
        <f>Table1[[#This Row],[Tabela]]&amp;Table1[[#This Row],[Campo]]</f>
        <v>modesg_inp_empr_excl_parisisin</v>
      </c>
      <c r="I970" s="3" t="s">
        <v>612</v>
      </c>
      <c r="J970" s="53">
        <f>VLOOKUP(Table1[[#This Row],[Status]],Auxiliar!$B$16:$C$24,2,0)</f>
        <v>1</v>
      </c>
      <c r="K970" s="20" t="s">
        <v>1198</v>
      </c>
      <c r="L970" s="2" t="s">
        <v>1185</v>
      </c>
      <c r="M970" s="20" t="s">
        <v>1195</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1256</v>
      </c>
    </row>
    <row r="971" spans="2:24" ht="17.7" hidden="1" customHeight="1">
      <c r="B971" s="12" t="s">
        <v>26</v>
      </c>
      <c r="C971" s="12" t="s">
        <v>181</v>
      </c>
      <c r="D971" s="12" t="s">
        <v>1241</v>
      </c>
      <c r="E971" s="2" t="s">
        <v>38</v>
      </c>
      <c r="F971" s="12" t="s">
        <v>214</v>
      </c>
      <c r="G971" s="12" t="s">
        <v>239</v>
      </c>
      <c r="H971" s="57" t="str">
        <f>Table1[[#This Row],[Tabela]]&amp;Table1[[#This Row],[Campo]]</f>
        <v>modesg_inp_empr_excl_parisclei</v>
      </c>
      <c r="I971" s="3" t="s">
        <v>612</v>
      </c>
      <c r="J971" s="53">
        <f>VLOOKUP(Table1[[#This Row],[Status]],Auxiliar!$B$16:$C$24,2,0)</f>
        <v>1</v>
      </c>
      <c r="K971" s="20" t="s">
        <v>1190</v>
      </c>
      <c r="L971" s="2" t="s">
        <v>1193</v>
      </c>
      <c r="M971" s="20" t="s">
        <v>1195</v>
      </c>
      <c r="N971" s="47">
        <v>45485</v>
      </c>
      <c r="O971" s="20">
        <f>INDEX(Auxiliar!$D$5:$F$13,MATCH(Table1[[#This Row],[Tipologia_Testes]],Auxiliar!$B$5:$B$13,0),MATCH(Table1[[#This Row],[Complexidade]],Auxiliar!$D$4:$F$4,0))</f>
        <v>0.1</v>
      </c>
      <c r="P971" s="2" t="s">
        <v>1257</v>
      </c>
      <c r="Q971" s="2"/>
      <c r="R971" s="151">
        <v>45261</v>
      </c>
      <c r="S971" s="151"/>
      <c r="T971" s="151"/>
      <c r="U971" s="151">
        <v>45603</v>
      </c>
      <c r="V971" s="151"/>
      <c r="W971" s="2">
        <f>VLOOKUP(Table1[[#This Row],[Status]],Auxiliar!$B$16:$D$24,3,0)*Table1[[#This Row],[Estimação (horas)]]</f>
        <v>0.1</v>
      </c>
      <c r="X971" s="2" t="s">
        <v>1256</v>
      </c>
    </row>
    <row r="972" spans="2:24" ht="17.7" hidden="1" customHeight="1">
      <c r="B972" s="12" t="s">
        <v>26</v>
      </c>
      <c r="C972" s="12" t="s">
        <v>181</v>
      </c>
      <c r="D972" s="12" t="s">
        <v>1241</v>
      </c>
      <c r="E972" s="2" t="s">
        <v>38</v>
      </c>
      <c r="F972" s="12" t="s">
        <v>214</v>
      </c>
      <c r="G972" s="12" t="s">
        <v>239</v>
      </c>
      <c r="H972" s="57" t="str">
        <f>Table1[[#This Row],[Tabela]]&amp;Table1[[#This Row],[Campo]]</f>
        <v>modesg_inp_empr_excl_parisclei</v>
      </c>
      <c r="I972" s="3" t="s">
        <v>612</v>
      </c>
      <c r="J972" s="53">
        <f>VLOOKUP(Table1[[#This Row],[Status]],Auxiliar!$B$16:$C$24,2,0)</f>
        <v>1</v>
      </c>
      <c r="K972" s="20" t="s">
        <v>1198</v>
      </c>
      <c r="L972" s="2" t="s">
        <v>1193</v>
      </c>
      <c r="M972" s="20" t="s">
        <v>1195</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1256</v>
      </c>
    </row>
    <row r="973" spans="2:24" ht="17.7" hidden="1" customHeight="1">
      <c r="B973" s="12" t="s">
        <v>26</v>
      </c>
      <c r="C973" s="12" t="s">
        <v>181</v>
      </c>
      <c r="D973" s="12" t="s">
        <v>1241</v>
      </c>
      <c r="E973" s="2" t="s">
        <v>38</v>
      </c>
      <c r="F973" s="12" t="s">
        <v>214</v>
      </c>
      <c r="G973" s="12" t="s">
        <v>240</v>
      </c>
      <c r="H973" s="57" t="str">
        <f>Table1[[#This Row],[Tabela]]&amp;Table1[[#This Row],[Campo]]</f>
        <v>modesg_inp_empr_excl_parisccli_kgl</v>
      </c>
      <c r="I973" s="3" t="s">
        <v>612</v>
      </c>
      <c r="J973" s="53">
        <f>VLOOKUP(Table1[[#This Row],[Status]],Auxiliar!$B$16:$C$24,2,0)</f>
        <v>1</v>
      </c>
      <c r="K973" s="20" t="s">
        <v>1190</v>
      </c>
      <c r="L973" s="2" t="s">
        <v>1193</v>
      </c>
      <c r="M973" s="20" t="s">
        <v>1195</v>
      </c>
      <c r="N973" s="47">
        <v>45485</v>
      </c>
      <c r="O973" s="20">
        <f>INDEX(Auxiliar!$D$5:$F$13,MATCH(Table1[[#This Row],[Tipologia_Testes]],Auxiliar!$B$5:$B$13,0),MATCH(Table1[[#This Row],[Complexidade]],Auxiliar!$D$4:$F$4,0))</f>
        <v>0.1</v>
      </c>
      <c r="P973" s="2" t="s">
        <v>1257</v>
      </c>
      <c r="Q973" s="2"/>
      <c r="R973" s="151">
        <v>45261</v>
      </c>
      <c r="S973" s="151"/>
      <c r="T973" s="151"/>
      <c r="U973" s="151">
        <v>45603</v>
      </c>
      <c r="V973" s="151"/>
      <c r="W973" s="2">
        <f>VLOOKUP(Table1[[#This Row],[Status]],Auxiliar!$B$16:$D$24,3,0)*Table1[[#This Row],[Estimação (horas)]]</f>
        <v>0.1</v>
      </c>
      <c r="X973" s="2" t="s">
        <v>1256</v>
      </c>
    </row>
    <row r="974" spans="2:24" ht="17.7" hidden="1" customHeight="1">
      <c r="B974" s="12" t="s">
        <v>26</v>
      </c>
      <c r="C974" s="12" t="s">
        <v>181</v>
      </c>
      <c r="D974" s="12" t="s">
        <v>1241</v>
      </c>
      <c r="E974" s="2" t="s">
        <v>38</v>
      </c>
      <c r="F974" s="12" t="s">
        <v>214</v>
      </c>
      <c r="G974" s="12" t="s">
        <v>240</v>
      </c>
      <c r="H974" s="57" t="str">
        <f>Table1[[#This Row],[Tabela]]&amp;Table1[[#This Row],[Campo]]</f>
        <v>modesg_inp_empr_excl_parisccli_kgl</v>
      </c>
      <c r="I974" s="3" t="s">
        <v>612</v>
      </c>
      <c r="J974" s="53">
        <f>VLOOKUP(Table1[[#This Row],[Status]],Auxiliar!$B$16:$C$24,2,0)</f>
        <v>1</v>
      </c>
      <c r="K974" s="20" t="s">
        <v>1198</v>
      </c>
      <c r="L974" s="2" t="s">
        <v>1193</v>
      </c>
      <c r="M974" s="20" t="s">
        <v>1195</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1256</v>
      </c>
    </row>
    <row r="975" spans="2:24" ht="17.7" hidden="1" customHeight="1">
      <c r="B975" s="12" t="s">
        <v>26</v>
      </c>
      <c r="C975" s="12" t="s">
        <v>181</v>
      </c>
      <c r="D975" s="12" t="s">
        <v>1241</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1198</v>
      </c>
      <c r="L975" s="2" t="s">
        <v>1193</v>
      </c>
      <c r="M975" s="20" t="s">
        <v>1195</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1256</v>
      </c>
    </row>
    <row r="976" spans="2:24" ht="17.7" hidden="1" customHeight="1">
      <c r="B976" s="12" t="s">
        <v>26</v>
      </c>
      <c r="C976" s="12" t="s">
        <v>181</v>
      </c>
      <c r="D976" s="12" t="s">
        <v>1241</v>
      </c>
      <c r="E976" s="2" t="s">
        <v>38</v>
      </c>
      <c r="F976" s="12" t="s">
        <v>214</v>
      </c>
      <c r="G976" s="12" t="s">
        <v>242</v>
      </c>
      <c r="H976" s="57" t="str">
        <f>Table1[[#This Row],[Tabela]]&amp;Table1[[#This Row],[Campo]]</f>
        <v>modesg_inp_empr_excl_parisflg_scib</v>
      </c>
      <c r="I976" s="3" t="s">
        <v>612</v>
      </c>
      <c r="J976" s="53">
        <f>VLOOKUP(Table1[[#This Row],[Status]],Auxiliar!$B$16:$C$24,2,0)</f>
        <v>1</v>
      </c>
      <c r="K976" s="20" t="s">
        <v>1198</v>
      </c>
      <c r="L976" s="2" t="s">
        <v>1193</v>
      </c>
      <c r="M976" s="20" t="s">
        <v>1195</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1256</v>
      </c>
    </row>
    <row r="977" spans="2:24" ht="17.7" hidden="1" customHeight="1">
      <c r="B977" s="12" t="s">
        <v>26</v>
      </c>
      <c r="C977" s="12" t="s">
        <v>181</v>
      </c>
      <c r="D977" s="12" t="s">
        <v>1241</v>
      </c>
      <c r="E977" s="2" t="s">
        <v>38</v>
      </c>
      <c r="F977" s="12" t="s">
        <v>214</v>
      </c>
      <c r="G977" s="12" t="s">
        <v>221</v>
      </c>
      <c r="H977" s="57" t="str">
        <f>Table1[[#This Row],[Tabela]]&amp;Table1[[#This Row],[Campo]]</f>
        <v>modesg_inp_empr_excl_parisnome_pais</v>
      </c>
      <c r="I977" s="3" t="s">
        <v>612</v>
      </c>
      <c r="J977" s="53">
        <f>VLOOKUP(Table1[[#This Row],[Status]],Auxiliar!$B$16:$C$24,2,0)</f>
        <v>1</v>
      </c>
      <c r="K977" s="20" t="s">
        <v>1198</v>
      </c>
      <c r="L977" s="27"/>
      <c r="M977" s="20" t="s">
        <v>1195</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1256</v>
      </c>
    </row>
    <row r="978" spans="2:24" ht="17.7" hidden="1" customHeight="1">
      <c r="B978" s="12" t="s">
        <v>26</v>
      </c>
      <c r="C978" s="12" t="s">
        <v>181</v>
      </c>
      <c r="D978" s="12" t="s">
        <v>1244</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1198</v>
      </c>
      <c r="L978" s="27"/>
      <c r="M978" s="20" t="s">
        <v>1195</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7" hidden="1" customHeight="1">
      <c r="B979" s="12" t="s">
        <v>26</v>
      </c>
      <c r="C979" s="12" t="s">
        <v>181</v>
      </c>
      <c r="D979" s="12" t="s">
        <v>1244</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1190</v>
      </c>
      <c r="L979" s="27"/>
      <c r="M979" s="20" t="s">
        <v>1195</v>
      </c>
      <c r="N979" s="47">
        <v>45540</v>
      </c>
      <c r="O979" s="20">
        <f>INDEX(Auxiliar!$D$5:$F$13,MATCH(Table1[[#This Row],[Tipologia_Testes]],Auxiliar!$B$5:$B$13,0),MATCH(Table1[[#This Row],[Complexidade]],Auxiliar!$D$4:$F$4,0))</f>
        <v>0.1</v>
      </c>
      <c r="P979" s="2" t="s">
        <v>1258</v>
      </c>
      <c r="Q979" s="2"/>
      <c r="R979" s="151">
        <v>45261</v>
      </c>
      <c r="S979" s="151"/>
      <c r="T979" s="151"/>
      <c r="U979" s="151">
        <v>45603</v>
      </c>
      <c r="V979" s="151">
        <v>45534</v>
      </c>
      <c r="W979" s="2">
        <f>VLOOKUP(Table1[[#This Row],[Status]],Auxiliar!$B$16:$D$24,3,0)*Table1[[#This Row],[Estimação (horas)]]</f>
        <v>0.1</v>
      </c>
      <c r="X979" s="2"/>
    </row>
    <row r="980" spans="2:24" ht="17.7" hidden="1" customHeight="1">
      <c r="B980" s="12" t="s">
        <v>26</v>
      </c>
      <c r="C980" s="12" t="s">
        <v>181</v>
      </c>
      <c r="D980" s="12" t="s">
        <v>1244</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1198</v>
      </c>
      <c r="L980" s="27"/>
      <c r="M980" s="20" t="s">
        <v>1195</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7" hidden="1" customHeight="1">
      <c r="B981" s="12" t="s">
        <v>26</v>
      </c>
      <c r="C981" s="12" t="s">
        <v>181</v>
      </c>
      <c r="D981" s="12" t="s">
        <v>1244</v>
      </c>
      <c r="E981" s="2" t="s">
        <v>38</v>
      </c>
      <c r="F981" s="12" t="s">
        <v>215</v>
      </c>
      <c r="G981" s="12" t="s">
        <v>239</v>
      </c>
      <c r="H981" s="57" t="str">
        <f>Table1[[#This Row],[Tabela]]&amp;Table1[[#This Row],[Campo]]</f>
        <v>modesg_inp_nfrd_alinhamento_taxclei</v>
      </c>
      <c r="I981" s="2" t="s">
        <v>612</v>
      </c>
      <c r="J981" s="45">
        <f>VLOOKUP(Table1[[#This Row],[Status]],Auxiliar!$B$16:$C$24,2,0)</f>
        <v>1</v>
      </c>
      <c r="K981" s="20" t="s">
        <v>1190</v>
      </c>
      <c r="L981" s="27"/>
      <c r="M981" s="20" t="s">
        <v>1195</v>
      </c>
      <c r="N981" s="47">
        <v>45540</v>
      </c>
      <c r="O981" s="20">
        <f>INDEX(Auxiliar!$D$5:$F$13,MATCH(Table1[[#This Row],[Tipologia_Testes]],Auxiliar!$B$5:$B$13,0),MATCH(Table1[[#This Row],[Complexidade]],Auxiliar!$D$4:$F$4,0))</f>
        <v>0.1</v>
      </c>
      <c r="P981" s="2" t="s">
        <v>1258</v>
      </c>
      <c r="Q981" s="2"/>
      <c r="R981" s="151">
        <v>45261</v>
      </c>
      <c r="S981" s="151"/>
      <c r="T981" s="151"/>
      <c r="U981" s="151">
        <v>45603</v>
      </c>
      <c r="V981" s="151">
        <v>45534</v>
      </c>
      <c r="W981" s="2">
        <f>VLOOKUP(Table1[[#This Row],[Status]],Auxiliar!$B$16:$D$24,3,0)*Table1[[#This Row],[Estimação (horas)]]</f>
        <v>0.1</v>
      </c>
      <c r="X981" s="2"/>
    </row>
    <row r="982" spans="2:24" ht="17.7" hidden="1" customHeight="1">
      <c r="B982" s="12" t="s">
        <v>26</v>
      </c>
      <c r="C982" s="12" t="s">
        <v>181</v>
      </c>
      <c r="D982" s="12" t="s">
        <v>1244</v>
      </c>
      <c r="E982" s="2" t="s">
        <v>38</v>
      </c>
      <c r="F982" s="12" t="s">
        <v>215</v>
      </c>
      <c r="G982" s="12" t="s">
        <v>239</v>
      </c>
      <c r="H982" s="57" t="str">
        <f>Table1[[#This Row],[Tabela]]&amp;Table1[[#This Row],[Campo]]</f>
        <v>modesg_inp_nfrd_alinhamento_taxclei</v>
      </c>
      <c r="I982" s="2" t="s">
        <v>612</v>
      </c>
      <c r="J982" s="45">
        <f>VLOOKUP(Table1[[#This Row],[Status]],Auxiliar!$B$16:$C$24,2,0)</f>
        <v>1</v>
      </c>
      <c r="K982" s="20" t="s">
        <v>1198</v>
      </c>
      <c r="L982" s="27"/>
      <c r="M982" s="20" t="s">
        <v>1195</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7" hidden="1" customHeight="1">
      <c r="B983" s="12" t="s">
        <v>26</v>
      </c>
      <c r="C983" s="12" t="s">
        <v>181</v>
      </c>
      <c r="D983" s="12" t="s">
        <v>1244</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1198</v>
      </c>
      <c r="L983" s="27"/>
      <c r="M983" s="20" t="s">
        <v>1195</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7" hidden="1" customHeight="1">
      <c r="B984" s="12" t="s">
        <v>26</v>
      </c>
      <c r="C984" s="12" t="s">
        <v>181</v>
      </c>
      <c r="D984" s="12" t="s">
        <v>1244</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1198</v>
      </c>
      <c r="L984" s="27"/>
      <c r="M984" s="20" t="s">
        <v>1195</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7" hidden="1" customHeight="1">
      <c r="B985" s="12" t="s">
        <v>26</v>
      </c>
      <c r="C985" s="12" t="s">
        <v>181</v>
      </c>
      <c r="D985" s="12" t="s">
        <v>1244</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1198</v>
      </c>
      <c r="L985" s="27"/>
      <c r="M985" s="20" t="s">
        <v>1195</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7" hidden="1" customHeight="1">
      <c r="B986" s="12" t="s">
        <v>26</v>
      </c>
      <c r="C986" s="12" t="s">
        <v>181</v>
      </c>
      <c r="D986" s="12" t="s">
        <v>1244</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1198</v>
      </c>
      <c r="L986" s="27"/>
      <c r="M986" s="20" t="s">
        <v>1195</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7" hidden="1" customHeight="1">
      <c r="B987" s="12" t="s">
        <v>26</v>
      </c>
      <c r="C987" s="12" t="s">
        <v>181</v>
      </c>
      <c r="D987" s="12" t="s">
        <v>1244</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1190</v>
      </c>
      <c r="L987" s="27"/>
      <c r="M987" s="20" t="s">
        <v>1195</v>
      </c>
      <c r="N987" s="47">
        <v>45540</v>
      </c>
      <c r="O987" s="20">
        <f>INDEX(Auxiliar!$D$5:$F$13,MATCH(Table1[[#This Row],[Tipologia_Testes]],Auxiliar!$B$5:$B$13,0),MATCH(Table1[[#This Row],[Complexidade]],Auxiliar!$D$4:$F$4,0))</f>
        <v>0.1</v>
      </c>
      <c r="P987" s="2" t="s">
        <v>1259</v>
      </c>
      <c r="Q987" s="2"/>
      <c r="R987" s="151">
        <v>45261</v>
      </c>
      <c r="S987" s="151"/>
      <c r="T987" s="151"/>
      <c r="U987" s="151">
        <v>45603</v>
      </c>
      <c r="V987" s="151">
        <v>45534</v>
      </c>
      <c r="W987" s="2">
        <f>VLOOKUP(Table1[[#This Row],[Status]],Auxiliar!$B$16:$D$24,3,0)*Table1[[#This Row],[Estimação (horas)]]</f>
        <v>0.1</v>
      </c>
      <c r="X987" s="2"/>
    </row>
    <row r="988" spans="2:24" ht="17.7" hidden="1" customHeight="1">
      <c r="B988" s="12" t="s">
        <v>26</v>
      </c>
      <c r="C988" s="12" t="s">
        <v>181</v>
      </c>
      <c r="D988" s="12" t="s">
        <v>1244</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1198</v>
      </c>
      <c r="L988" s="27"/>
      <c r="M988" s="20" t="s">
        <v>1195</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7" hidden="1" customHeight="1">
      <c r="B989" s="12" t="s">
        <v>26</v>
      </c>
      <c r="C989" s="12" t="s">
        <v>181</v>
      </c>
      <c r="D989" s="12" t="s">
        <v>1244</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1190</v>
      </c>
      <c r="L989" s="27"/>
      <c r="M989" s="20" t="s">
        <v>1195</v>
      </c>
      <c r="N989" s="47">
        <v>45540</v>
      </c>
      <c r="O989" s="20">
        <f>INDEX(Auxiliar!$D$5:$F$13,MATCH(Table1[[#This Row],[Tipologia_Testes]],Auxiliar!$B$5:$B$13,0),MATCH(Table1[[#This Row],[Complexidade]],Auxiliar!$D$4:$F$4,0))</f>
        <v>0.1</v>
      </c>
      <c r="P989" s="2" t="s">
        <v>1259</v>
      </c>
      <c r="Q989" s="2"/>
      <c r="R989" s="151">
        <v>45261</v>
      </c>
      <c r="S989" s="151"/>
      <c r="T989" s="151"/>
      <c r="U989" s="151">
        <v>45603</v>
      </c>
      <c r="V989" s="151">
        <v>45534</v>
      </c>
      <c r="W989" s="2">
        <f>VLOOKUP(Table1[[#This Row],[Status]],Auxiliar!$B$16:$D$24,3,0)*Table1[[#This Row],[Estimação (horas)]]</f>
        <v>0.1</v>
      </c>
      <c r="X989" s="2"/>
    </row>
    <row r="990" spans="2:24" ht="17.7" hidden="1" customHeight="1">
      <c r="B990" s="12" t="s">
        <v>26</v>
      </c>
      <c r="C990" s="12" t="s">
        <v>181</v>
      </c>
      <c r="D990" s="12" t="s">
        <v>1244</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1198</v>
      </c>
      <c r="L990" s="27"/>
      <c r="M990" s="20" t="s">
        <v>1195</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7" hidden="1" customHeight="1">
      <c r="B991" s="12" t="s">
        <v>26</v>
      </c>
      <c r="C991" s="12" t="s">
        <v>181</v>
      </c>
      <c r="D991" s="12" t="s">
        <v>1244</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1190</v>
      </c>
      <c r="L991" s="27"/>
      <c r="M991" s="20" t="s">
        <v>1195</v>
      </c>
      <c r="N991" s="47">
        <v>45540</v>
      </c>
      <c r="O991" s="20">
        <f>INDEX(Auxiliar!$D$5:$F$13,MATCH(Table1[[#This Row],[Tipologia_Testes]],Auxiliar!$B$5:$B$13,0),MATCH(Table1[[#This Row],[Complexidade]],Auxiliar!$D$4:$F$4,0))</f>
        <v>0.1</v>
      </c>
      <c r="P991" s="2" t="s">
        <v>1259</v>
      </c>
      <c r="Q991" s="2"/>
      <c r="R991" s="151">
        <v>45261</v>
      </c>
      <c r="S991" s="151"/>
      <c r="T991" s="151"/>
      <c r="U991" s="151">
        <v>45603</v>
      </c>
      <c r="V991" s="151">
        <v>45534</v>
      </c>
      <c r="W991" s="2">
        <f>VLOOKUP(Table1[[#This Row],[Status]],Auxiliar!$B$16:$D$24,3,0)*Table1[[#This Row],[Estimação (horas)]]</f>
        <v>0.1</v>
      </c>
      <c r="X991" s="2"/>
    </row>
    <row r="992" spans="2:24" ht="17.7" hidden="1" customHeight="1">
      <c r="B992" s="12" t="s">
        <v>26</v>
      </c>
      <c r="C992" s="12" t="s">
        <v>181</v>
      </c>
      <c r="D992" s="12" t="s">
        <v>1244</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1198</v>
      </c>
      <c r="L992" s="27"/>
      <c r="M992" s="20" t="s">
        <v>1195</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7" hidden="1" customHeight="1">
      <c r="B993" s="12" t="s">
        <v>26</v>
      </c>
      <c r="C993" s="12" t="s">
        <v>181</v>
      </c>
      <c r="D993" s="12" t="s">
        <v>1244</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1190</v>
      </c>
      <c r="L993" s="27"/>
      <c r="M993" s="20" t="s">
        <v>1195</v>
      </c>
      <c r="N993" s="47">
        <v>45540</v>
      </c>
      <c r="O993" s="20">
        <f>INDEX(Auxiliar!$D$5:$F$13,MATCH(Table1[[#This Row],[Tipologia_Testes]],Auxiliar!$B$5:$B$13,0),MATCH(Table1[[#This Row],[Complexidade]],Auxiliar!$D$4:$F$4,0))</f>
        <v>0.1</v>
      </c>
      <c r="P993" s="2" t="s">
        <v>1259</v>
      </c>
      <c r="Q993" s="2"/>
      <c r="R993" s="151">
        <v>45261</v>
      </c>
      <c r="S993" s="151"/>
      <c r="T993" s="151"/>
      <c r="U993" s="151">
        <v>45603</v>
      </c>
      <c r="V993" s="151">
        <v>45534</v>
      </c>
      <c r="W993" s="2">
        <f>VLOOKUP(Table1[[#This Row],[Status]],Auxiliar!$B$16:$D$24,3,0)*Table1[[#This Row],[Estimação (horas)]]</f>
        <v>0.1</v>
      </c>
      <c r="X993" s="2"/>
    </row>
    <row r="994" spans="2:24" ht="17.7" hidden="1" customHeight="1">
      <c r="B994" s="12" t="s">
        <v>26</v>
      </c>
      <c r="C994" s="12" t="s">
        <v>181</v>
      </c>
      <c r="D994" s="12" t="s">
        <v>1244</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1198</v>
      </c>
      <c r="L994" s="27"/>
      <c r="M994" s="20" t="s">
        <v>1195</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7" hidden="1" customHeight="1">
      <c r="B995" s="12" t="s">
        <v>26</v>
      </c>
      <c r="C995" s="12" t="s">
        <v>181</v>
      </c>
      <c r="D995" s="12" t="s">
        <v>1244</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1190</v>
      </c>
      <c r="L995" s="27"/>
      <c r="M995" s="20" t="s">
        <v>1195</v>
      </c>
      <c r="N995" s="47">
        <v>45540</v>
      </c>
      <c r="O995" s="20">
        <f>INDEX(Auxiliar!$D$5:$F$13,MATCH(Table1[[#This Row],[Tipologia_Testes]],Auxiliar!$B$5:$B$13,0),MATCH(Table1[[#This Row],[Complexidade]],Auxiliar!$D$4:$F$4,0))</f>
        <v>0.1</v>
      </c>
      <c r="P995" s="2" t="s">
        <v>1259</v>
      </c>
      <c r="Q995" s="2"/>
      <c r="R995" s="151">
        <v>45261</v>
      </c>
      <c r="S995" s="151"/>
      <c r="T995" s="151"/>
      <c r="U995" s="151">
        <v>45603</v>
      </c>
      <c r="V995" s="151">
        <v>45534</v>
      </c>
      <c r="W995" s="2">
        <f>VLOOKUP(Table1[[#This Row],[Status]],Auxiliar!$B$16:$D$24,3,0)*Table1[[#This Row],[Estimação (horas)]]</f>
        <v>0.1</v>
      </c>
      <c r="X995" s="2"/>
    </row>
    <row r="996" spans="2:24" ht="17.7" hidden="1" customHeight="1">
      <c r="B996" s="12" t="s">
        <v>26</v>
      </c>
      <c r="C996" s="12" t="s">
        <v>181</v>
      </c>
      <c r="D996" s="12" t="s">
        <v>1244</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1198</v>
      </c>
      <c r="L996" s="27"/>
      <c r="M996" s="20" t="s">
        <v>1195</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7" hidden="1" customHeight="1">
      <c r="B997" s="12" t="s">
        <v>26</v>
      </c>
      <c r="C997" s="12" t="s">
        <v>181</v>
      </c>
      <c r="D997" s="12" t="s">
        <v>1244</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1190</v>
      </c>
      <c r="L997" s="27"/>
      <c r="M997" s="20" t="s">
        <v>1195</v>
      </c>
      <c r="N997" s="47">
        <v>45540</v>
      </c>
      <c r="O997" s="20">
        <f>INDEX(Auxiliar!$D$5:$F$13,MATCH(Table1[[#This Row],[Tipologia_Testes]],Auxiliar!$B$5:$B$13,0),MATCH(Table1[[#This Row],[Complexidade]],Auxiliar!$D$4:$F$4,0))</f>
        <v>0.1</v>
      </c>
      <c r="P997" s="2" t="s">
        <v>1259</v>
      </c>
      <c r="Q997" s="2"/>
      <c r="R997" s="151">
        <v>45261</v>
      </c>
      <c r="S997" s="151"/>
      <c r="T997" s="151"/>
      <c r="U997" s="151">
        <v>45603</v>
      </c>
      <c r="V997" s="151">
        <v>45534</v>
      </c>
      <c r="W997" s="2">
        <f>VLOOKUP(Table1[[#This Row],[Status]],Auxiliar!$B$16:$D$24,3,0)*Table1[[#This Row],[Estimação (horas)]]</f>
        <v>0.1</v>
      </c>
      <c r="X997" s="2"/>
    </row>
    <row r="998" spans="2:24" ht="17.7" hidden="1" customHeight="1">
      <c r="B998" s="12" t="s">
        <v>26</v>
      </c>
      <c r="C998" s="12" t="s">
        <v>181</v>
      </c>
      <c r="D998" s="12" t="s">
        <v>1244</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1198</v>
      </c>
      <c r="L998" s="27"/>
      <c r="M998" s="20" t="s">
        <v>1195</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7" hidden="1" customHeight="1">
      <c r="B999" s="12" t="s">
        <v>26</v>
      </c>
      <c r="C999" s="12" t="s">
        <v>181</v>
      </c>
      <c r="D999" s="12" t="s">
        <v>1244</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1190</v>
      </c>
      <c r="L999" s="27"/>
      <c r="M999" s="20" t="s">
        <v>1195</v>
      </c>
      <c r="N999" s="47">
        <v>45540</v>
      </c>
      <c r="O999" s="20">
        <f>INDEX(Auxiliar!$D$5:$F$13,MATCH(Table1[[#This Row],[Tipologia_Testes]],Auxiliar!$B$5:$B$13,0),MATCH(Table1[[#This Row],[Complexidade]],Auxiliar!$D$4:$F$4,0))</f>
        <v>0.1</v>
      </c>
      <c r="P999" s="2" t="s">
        <v>1259</v>
      </c>
      <c r="Q999" s="2"/>
      <c r="R999" s="151">
        <v>45261</v>
      </c>
      <c r="S999" s="151"/>
      <c r="T999" s="151"/>
      <c r="U999" s="151">
        <v>45603</v>
      </c>
      <c r="V999" s="151">
        <v>45534</v>
      </c>
      <c r="W999" s="2">
        <f>VLOOKUP(Table1[[#This Row],[Status]],Auxiliar!$B$16:$D$24,3,0)*Table1[[#This Row],[Estimação (horas)]]</f>
        <v>0.1</v>
      </c>
      <c r="X999" s="2"/>
    </row>
    <row r="1000" spans="2:24" ht="17.7" hidden="1" customHeight="1">
      <c r="B1000" s="12" t="s">
        <v>26</v>
      </c>
      <c r="C1000" s="12" t="s">
        <v>181</v>
      </c>
      <c r="D1000" s="12" t="s">
        <v>1244</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1198</v>
      </c>
      <c r="L1000" s="27"/>
      <c r="M1000" s="20" t="s">
        <v>1195</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7" hidden="1" customHeight="1">
      <c r="B1001" s="12" t="s">
        <v>26</v>
      </c>
      <c r="C1001" s="12" t="s">
        <v>181</v>
      </c>
      <c r="D1001" s="12" t="s">
        <v>1244</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1190</v>
      </c>
      <c r="L1001" s="27"/>
      <c r="M1001" s="20" t="s">
        <v>1195</v>
      </c>
      <c r="N1001" s="47">
        <v>45540</v>
      </c>
      <c r="O1001" s="20">
        <f>INDEX(Auxiliar!$D$5:$F$13,MATCH(Table1[[#This Row],[Tipologia_Testes]],Auxiliar!$B$5:$B$13,0),MATCH(Table1[[#This Row],[Complexidade]],Auxiliar!$D$4:$F$4,0))</f>
        <v>0.1</v>
      </c>
      <c r="P1001" s="2" t="s">
        <v>1259</v>
      </c>
      <c r="Q1001" s="2"/>
      <c r="R1001" s="151">
        <v>45261</v>
      </c>
      <c r="S1001" s="151"/>
      <c r="T1001" s="151"/>
      <c r="U1001" s="151">
        <v>45603</v>
      </c>
      <c r="V1001" s="151">
        <v>45534</v>
      </c>
      <c r="W1001" s="2">
        <f>VLOOKUP(Table1[[#This Row],[Status]],Auxiliar!$B$16:$D$24,3,0)*Table1[[#This Row],[Estimação (horas)]]</f>
        <v>0.1</v>
      </c>
      <c r="X1001" s="2"/>
    </row>
    <row r="1002" spans="2:24" ht="17.7" hidden="1" customHeight="1">
      <c r="B1002" s="12" t="s">
        <v>26</v>
      </c>
      <c r="C1002" s="12" t="s">
        <v>181</v>
      </c>
      <c r="D1002" s="12" t="s">
        <v>1244</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1198</v>
      </c>
      <c r="L1002" s="27"/>
      <c r="M1002" s="20" t="s">
        <v>1195</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7" hidden="1" customHeight="1">
      <c r="B1003" s="12" t="s">
        <v>26</v>
      </c>
      <c r="C1003" s="12" t="s">
        <v>181</v>
      </c>
      <c r="D1003" s="12" t="s">
        <v>1244</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1190</v>
      </c>
      <c r="L1003" s="27"/>
      <c r="M1003" s="20" t="s">
        <v>1195</v>
      </c>
      <c r="N1003" s="47">
        <v>45540</v>
      </c>
      <c r="O1003" s="20">
        <f>INDEX(Auxiliar!$D$5:$F$13,MATCH(Table1[[#This Row],[Tipologia_Testes]],Auxiliar!$B$5:$B$13,0),MATCH(Table1[[#This Row],[Complexidade]],Auxiliar!$D$4:$F$4,0))</f>
        <v>0.1</v>
      </c>
      <c r="P1003" s="2" t="s">
        <v>1259</v>
      </c>
      <c r="Q1003" s="2"/>
      <c r="R1003" s="151">
        <v>45261</v>
      </c>
      <c r="S1003" s="151"/>
      <c r="T1003" s="151"/>
      <c r="U1003" s="151">
        <v>45603</v>
      </c>
      <c r="V1003" s="151">
        <v>45534</v>
      </c>
      <c r="W1003" s="2">
        <f>VLOOKUP(Table1[[#This Row],[Status]],Auxiliar!$B$16:$D$24,3,0)*Table1[[#This Row],[Estimação (horas)]]</f>
        <v>0.1</v>
      </c>
      <c r="X1003" s="2"/>
    </row>
    <row r="1004" spans="2:24" ht="17.7" hidden="1" customHeight="1">
      <c r="B1004" s="12" t="s">
        <v>26</v>
      </c>
      <c r="C1004" s="12" t="s">
        <v>181</v>
      </c>
      <c r="D1004" s="12" t="s">
        <v>1244</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1198</v>
      </c>
      <c r="L1004" s="27"/>
      <c r="M1004" s="20" t="s">
        <v>1195</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7" hidden="1" customHeight="1">
      <c r="B1005" s="12" t="s">
        <v>26</v>
      </c>
      <c r="C1005" s="12" t="s">
        <v>181</v>
      </c>
      <c r="D1005" s="12" t="s">
        <v>1244</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1190</v>
      </c>
      <c r="L1005" s="27"/>
      <c r="M1005" s="20" t="s">
        <v>1195</v>
      </c>
      <c r="N1005" s="47">
        <v>45540</v>
      </c>
      <c r="O1005" s="20">
        <f>INDEX(Auxiliar!$D$5:$F$13,MATCH(Table1[[#This Row],[Tipologia_Testes]],Auxiliar!$B$5:$B$13,0),MATCH(Table1[[#This Row],[Complexidade]],Auxiliar!$D$4:$F$4,0))</f>
        <v>0.1</v>
      </c>
      <c r="P1005" s="2" t="s">
        <v>1259</v>
      </c>
      <c r="Q1005" s="2"/>
      <c r="R1005" s="151">
        <v>45261</v>
      </c>
      <c r="S1005" s="151"/>
      <c r="T1005" s="151"/>
      <c r="U1005" s="151">
        <v>45603</v>
      </c>
      <c r="V1005" s="151">
        <v>45534</v>
      </c>
      <c r="W1005" s="2">
        <f>VLOOKUP(Table1[[#This Row],[Status]],Auxiliar!$B$16:$D$24,3,0)*Table1[[#This Row],[Estimação (horas)]]</f>
        <v>0.1</v>
      </c>
      <c r="X1005" s="2"/>
    </row>
    <row r="1006" spans="2:24" ht="17.7" hidden="1" customHeight="1">
      <c r="B1006" s="12" t="s">
        <v>26</v>
      </c>
      <c r="C1006" s="12" t="s">
        <v>181</v>
      </c>
      <c r="D1006" s="12" t="s">
        <v>1244</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1198</v>
      </c>
      <c r="L1006" s="27"/>
      <c r="M1006" s="20" t="s">
        <v>1195</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7" hidden="1" customHeight="1">
      <c r="B1007" s="12" t="s">
        <v>26</v>
      </c>
      <c r="C1007" s="12" t="s">
        <v>181</v>
      </c>
      <c r="D1007" s="12" t="s">
        <v>1244</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1190</v>
      </c>
      <c r="L1007" s="27"/>
      <c r="M1007" s="20" t="s">
        <v>1195</v>
      </c>
      <c r="N1007" s="47">
        <v>45540</v>
      </c>
      <c r="O1007" s="20">
        <f>INDEX(Auxiliar!$D$5:$F$13,MATCH(Table1[[#This Row],[Tipologia_Testes]],Auxiliar!$B$5:$B$13,0),MATCH(Table1[[#This Row],[Complexidade]],Auxiliar!$D$4:$F$4,0))</f>
        <v>0.1</v>
      </c>
      <c r="P1007" s="2" t="s">
        <v>1259</v>
      </c>
      <c r="Q1007" s="2"/>
      <c r="R1007" s="151">
        <v>45261</v>
      </c>
      <c r="S1007" s="151"/>
      <c r="T1007" s="151"/>
      <c r="U1007" s="151">
        <v>45603</v>
      </c>
      <c r="V1007" s="151">
        <v>45534</v>
      </c>
      <c r="W1007" s="2">
        <f>VLOOKUP(Table1[[#This Row],[Status]],Auxiliar!$B$16:$D$24,3,0)*Table1[[#This Row],[Estimação (horas)]]</f>
        <v>0.1</v>
      </c>
      <c r="X1007" s="2"/>
    </row>
    <row r="1008" spans="2:24" ht="17.7" hidden="1" customHeight="1">
      <c r="B1008" s="12" t="s">
        <v>26</v>
      </c>
      <c r="C1008" s="12" t="s">
        <v>181</v>
      </c>
      <c r="D1008" s="12" t="s">
        <v>1244</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1198</v>
      </c>
      <c r="L1008" s="27"/>
      <c r="M1008" s="20" t="s">
        <v>1195</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7" hidden="1" customHeight="1">
      <c r="B1009" s="12" t="s">
        <v>26</v>
      </c>
      <c r="C1009" s="12" t="s">
        <v>181</v>
      </c>
      <c r="D1009" s="12" t="s">
        <v>1244</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1190</v>
      </c>
      <c r="L1009" s="27"/>
      <c r="M1009" s="20" t="s">
        <v>1195</v>
      </c>
      <c r="N1009" s="47">
        <v>45540</v>
      </c>
      <c r="O1009" s="20">
        <f>INDEX(Auxiliar!$D$5:$F$13,MATCH(Table1[[#This Row],[Tipologia_Testes]],Auxiliar!$B$5:$B$13,0),MATCH(Table1[[#This Row],[Complexidade]],Auxiliar!$D$4:$F$4,0))</f>
        <v>0.1</v>
      </c>
      <c r="P1009" s="2" t="s">
        <v>1259</v>
      </c>
      <c r="Q1009" s="2"/>
      <c r="R1009" s="151">
        <v>45261</v>
      </c>
      <c r="S1009" s="151"/>
      <c r="T1009" s="151"/>
      <c r="U1009" s="151">
        <v>45603</v>
      </c>
      <c r="V1009" s="151">
        <v>45534</v>
      </c>
      <c r="W1009" s="2">
        <f>VLOOKUP(Table1[[#This Row],[Status]],Auxiliar!$B$16:$D$24,3,0)*Table1[[#This Row],[Estimação (horas)]]</f>
        <v>0.1</v>
      </c>
      <c r="X1009" s="2"/>
    </row>
    <row r="1010" spans="2:24" ht="17.7" hidden="1" customHeight="1">
      <c r="B1010" s="12" t="s">
        <v>26</v>
      </c>
      <c r="C1010" s="12" t="s">
        <v>181</v>
      </c>
      <c r="D1010" s="12" t="s">
        <v>1244</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1198</v>
      </c>
      <c r="L1010" s="27"/>
      <c r="M1010" s="20" t="s">
        <v>1195</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7" hidden="1" customHeight="1">
      <c r="B1011" s="12" t="s">
        <v>26</v>
      </c>
      <c r="C1011" s="12" t="s">
        <v>181</v>
      </c>
      <c r="D1011" s="12" t="s">
        <v>1244</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1190</v>
      </c>
      <c r="L1011" s="27"/>
      <c r="M1011" s="20" t="s">
        <v>1195</v>
      </c>
      <c r="N1011" s="47">
        <v>45540</v>
      </c>
      <c r="O1011" s="20">
        <f>INDEX(Auxiliar!$D$5:$F$13,MATCH(Table1[[#This Row],[Tipologia_Testes]],Auxiliar!$B$5:$B$13,0),MATCH(Table1[[#This Row],[Complexidade]],Auxiliar!$D$4:$F$4,0))</f>
        <v>0.1</v>
      </c>
      <c r="P1011" s="2" t="s">
        <v>1259</v>
      </c>
      <c r="Q1011" s="2"/>
      <c r="R1011" s="151">
        <v>45261</v>
      </c>
      <c r="S1011" s="151"/>
      <c r="T1011" s="151"/>
      <c r="U1011" s="151">
        <v>45603</v>
      </c>
      <c r="V1011" s="151">
        <v>45534</v>
      </c>
      <c r="W1011" s="2">
        <f>VLOOKUP(Table1[[#This Row],[Status]],Auxiliar!$B$16:$D$24,3,0)*Table1[[#This Row],[Estimação (horas)]]</f>
        <v>0.1</v>
      </c>
      <c r="X1011" s="2"/>
    </row>
    <row r="1012" spans="2:24" ht="17.7" hidden="1" customHeight="1">
      <c r="B1012" s="12" t="s">
        <v>26</v>
      </c>
      <c r="C1012" s="12" t="s">
        <v>181</v>
      </c>
      <c r="D1012" s="12" t="s">
        <v>1244</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1198</v>
      </c>
      <c r="L1012" s="27"/>
      <c r="M1012" s="20" t="s">
        <v>1195</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7" hidden="1" customHeight="1">
      <c r="B1013" s="12" t="s">
        <v>26</v>
      </c>
      <c r="C1013" s="12" t="s">
        <v>181</v>
      </c>
      <c r="D1013" s="12" t="s">
        <v>1244</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1190</v>
      </c>
      <c r="L1013" s="27"/>
      <c r="M1013" s="20" t="s">
        <v>1195</v>
      </c>
      <c r="N1013" s="47">
        <v>45540</v>
      </c>
      <c r="O1013" s="20">
        <f>INDEX(Auxiliar!$D$5:$F$13,MATCH(Table1[[#This Row],[Tipologia_Testes]],Auxiliar!$B$5:$B$13,0),MATCH(Table1[[#This Row],[Complexidade]],Auxiliar!$D$4:$F$4,0))</f>
        <v>0.1</v>
      </c>
      <c r="P1013" s="2" t="s">
        <v>1260</v>
      </c>
      <c r="Q1013" s="2"/>
      <c r="R1013" s="151">
        <v>45261</v>
      </c>
      <c r="S1013" s="151"/>
      <c r="T1013" s="151"/>
      <c r="U1013" s="151">
        <v>45603</v>
      </c>
      <c r="V1013" s="151">
        <v>45534</v>
      </c>
      <c r="W1013" s="2">
        <f>VLOOKUP(Table1[[#This Row],[Status]],Auxiliar!$B$16:$D$24,3,0)*Table1[[#This Row],[Estimação (horas)]]</f>
        <v>0.1</v>
      </c>
      <c r="X1013" s="2"/>
    </row>
    <row r="1014" spans="2:24" ht="17.7" hidden="1" customHeight="1">
      <c r="B1014" s="12" t="s">
        <v>26</v>
      </c>
      <c r="C1014" s="12" t="s">
        <v>181</v>
      </c>
      <c r="D1014" s="12" t="s">
        <v>1244</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1198</v>
      </c>
      <c r="L1014" s="27"/>
      <c r="M1014" s="20" t="s">
        <v>1195</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7" hidden="1" customHeight="1">
      <c r="B1015" s="12" t="s">
        <v>26</v>
      </c>
      <c r="C1015" s="12" t="s">
        <v>181</v>
      </c>
      <c r="D1015" s="12" t="s">
        <v>1244</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1190</v>
      </c>
      <c r="L1015" s="2" t="s">
        <v>649</v>
      </c>
      <c r="M1015" s="20" t="s">
        <v>1195</v>
      </c>
      <c r="N1015" s="47">
        <v>45540</v>
      </c>
      <c r="O1015" s="20">
        <f>INDEX(Auxiliar!$D$5:$F$13,MATCH(Table1[[#This Row],[Tipologia_Testes]],Auxiliar!$B$5:$B$13,0),MATCH(Table1[[#This Row],[Complexidade]],Auxiliar!$D$4:$F$4,0))</f>
        <v>0.1</v>
      </c>
      <c r="P1015" s="2" t="s">
        <v>1261</v>
      </c>
      <c r="Q1015" s="2"/>
      <c r="R1015" s="151">
        <v>45261</v>
      </c>
      <c r="S1015" s="151"/>
      <c r="T1015" s="151"/>
      <c r="U1015" s="151">
        <v>45603</v>
      </c>
      <c r="V1015" s="151">
        <v>45534</v>
      </c>
      <c r="W1015" s="2">
        <f>VLOOKUP(Table1[[#This Row],[Status]],Auxiliar!$B$16:$D$24,3,0)*Table1[[#This Row],[Estimação (horas)]]</f>
        <v>0.1</v>
      </c>
      <c r="X1015" s="2"/>
    </row>
    <row r="1016" spans="2:24" ht="17.7" hidden="1" customHeight="1">
      <c r="B1016" s="12" t="s">
        <v>26</v>
      </c>
      <c r="C1016" s="12" t="s">
        <v>181</v>
      </c>
      <c r="D1016" s="12" t="s">
        <v>1244</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1198</v>
      </c>
      <c r="L1016" s="2" t="s">
        <v>649</v>
      </c>
      <c r="M1016" s="20" t="s">
        <v>1195</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7" hidden="1" customHeight="1">
      <c r="B1017" s="12" t="s">
        <v>26</v>
      </c>
      <c r="C1017" s="12" t="s">
        <v>181</v>
      </c>
      <c r="D1017" s="12" t="s">
        <v>1244</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1190</v>
      </c>
      <c r="L1017" s="2" t="s">
        <v>649</v>
      </c>
      <c r="M1017" s="20" t="s">
        <v>1195</v>
      </c>
      <c r="N1017" s="47">
        <v>45540</v>
      </c>
      <c r="O1017" s="20">
        <f>INDEX(Auxiliar!$D$5:$F$13,MATCH(Table1[[#This Row],[Tipologia_Testes]],Auxiliar!$B$5:$B$13,0),MATCH(Table1[[#This Row],[Complexidade]],Auxiliar!$D$4:$F$4,0))</f>
        <v>0.1</v>
      </c>
      <c r="P1017" s="2" t="s">
        <v>1261</v>
      </c>
      <c r="Q1017" s="2"/>
      <c r="R1017" s="151">
        <v>45261</v>
      </c>
      <c r="S1017" s="151"/>
      <c r="T1017" s="151"/>
      <c r="U1017" s="151">
        <v>45603</v>
      </c>
      <c r="V1017" s="151">
        <v>45534</v>
      </c>
      <c r="W1017" s="2">
        <f>VLOOKUP(Table1[[#This Row],[Status]],Auxiliar!$B$16:$D$24,3,0)*Table1[[#This Row],[Estimação (horas)]]</f>
        <v>0.1</v>
      </c>
      <c r="X1017" s="2"/>
    </row>
    <row r="1018" spans="2:24" ht="17.7" hidden="1" customHeight="1">
      <c r="B1018" s="12" t="s">
        <v>26</v>
      </c>
      <c r="C1018" s="12" t="s">
        <v>181</v>
      </c>
      <c r="D1018" s="12" t="s">
        <v>1244</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1198</v>
      </c>
      <c r="L1018" s="2" t="s">
        <v>649</v>
      </c>
      <c r="M1018" s="20" t="s">
        <v>1195</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7" hidden="1" customHeight="1">
      <c r="B1019" s="12" t="s">
        <v>26</v>
      </c>
      <c r="C1019" s="12" t="s">
        <v>181</v>
      </c>
      <c r="D1019" s="12" t="s">
        <v>1244</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1190</v>
      </c>
      <c r="L1019" s="2" t="s">
        <v>649</v>
      </c>
      <c r="M1019" s="20" t="s">
        <v>1195</v>
      </c>
      <c r="N1019" s="47">
        <v>45540</v>
      </c>
      <c r="O1019" s="20">
        <f>INDEX(Auxiliar!$D$5:$F$13,MATCH(Table1[[#This Row],[Tipologia_Testes]],Auxiliar!$B$5:$B$13,0),MATCH(Table1[[#This Row],[Complexidade]],Auxiliar!$D$4:$F$4,0))</f>
        <v>0.1</v>
      </c>
      <c r="P1019" s="2" t="s">
        <v>1261</v>
      </c>
      <c r="Q1019" s="2"/>
      <c r="R1019" s="151">
        <v>45261</v>
      </c>
      <c r="S1019" s="151"/>
      <c r="T1019" s="151"/>
      <c r="U1019" s="151">
        <v>45603</v>
      </c>
      <c r="V1019" s="151">
        <v>45534</v>
      </c>
      <c r="W1019" s="2">
        <f>VLOOKUP(Table1[[#This Row],[Status]],Auxiliar!$B$16:$D$24,3,0)*Table1[[#This Row],[Estimação (horas)]]</f>
        <v>0.1</v>
      </c>
      <c r="X1019" s="2"/>
    </row>
    <row r="1020" spans="2:24" ht="17.7" hidden="1" customHeight="1">
      <c r="B1020" s="12" t="s">
        <v>26</v>
      </c>
      <c r="C1020" s="12" t="s">
        <v>181</v>
      </c>
      <c r="D1020" s="12" t="s">
        <v>1244</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1198</v>
      </c>
      <c r="L1020" s="2" t="s">
        <v>649</v>
      </c>
      <c r="M1020" s="20" t="s">
        <v>1195</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7" hidden="1" customHeight="1">
      <c r="B1021" s="12" t="s">
        <v>26</v>
      </c>
      <c r="C1021" s="12" t="s">
        <v>181</v>
      </c>
      <c r="D1021" s="12" t="s">
        <v>1244</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1190</v>
      </c>
      <c r="L1021" s="2" t="s">
        <v>649</v>
      </c>
      <c r="M1021" s="20" t="s">
        <v>1195</v>
      </c>
      <c r="N1021" s="47">
        <v>45540</v>
      </c>
      <c r="O1021" s="20">
        <f>INDEX(Auxiliar!$D$5:$F$13,MATCH(Table1[[#This Row],[Tipologia_Testes]],Auxiliar!$B$5:$B$13,0),MATCH(Table1[[#This Row],[Complexidade]],Auxiliar!$D$4:$F$4,0))</f>
        <v>0.1</v>
      </c>
      <c r="P1021" s="2" t="s">
        <v>1261</v>
      </c>
      <c r="Q1021" s="2"/>
      <c r="R1021" s="151">
        <v>45261</v>
      </c>
      <c r="S1021" s="151"/>
      <c r="T1021" s="151"/>
      <c r="U1021" s="151">
        <v>45603</v>
      </c>
      <c r="V1021" s="151">
        <v>45534</v>
      </c>
      <c r="W1021" s="2">
        <f>VLOOKUP(Table1[[#This Row],[Status]],Auxiliar!$B$16:$D$24,3,0)*Table1[[#This Row],[Estimação (horas)]]</f>
        <v>0.1</v>
      </c>
      <c r="X1021" s="2"/>
    </row>
    <row r="1022" spans="2:24" ht="17.7" hidden="1" customHeight="1">
      <c r="B1022" s="12" t="s">
        <v>26</v>
      </c>
      <c r="C1022" s="12" t="s">
        <v>181</v>
      </c>
      <c r="D1022" s="12" t="s">
        <v>1244</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1198</v>
      </c>
      <c r="L1022" s="2" t="s">
        <v>649</v>
      </c>
      <c r="M1022" s="20" t="s">
        <v>1195</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7" hidden="1" customHeight="1">
      <c r="B1023" s="12" t="s">
        <v>26</v>
      </c>
      <c r="C1023" s="12" t="s">
        <v>181</v>
      </c>
      <c r="D1023" s="12" t="s">
        <v>1244</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1190</v>
      </c>
      <c r="L1023" s="2" t="s">
        <v>649</v>
      </c>
      <c r="M1023" s="20" t="s">
        <v>1195</v>
      </c>
      <c r="N1023" s="47">
        <v>45540</v>
      </c>
      <c r="O1023" s="20">
        <f>INDEX(Auxiliar!$D$5:$F$13,MATCH(Table1[[#This Row],[Tipologia_Testes]],Auxiliar!$B$5:$B$13,0),MATCH(Table1[[#This Row],[Complexidade]],Auxiliar!$D$4:$F$4,0))</f>
        <v>0.1</v>
      </c>
      <c r="P1023" s="2" t="s">
        <v>1261</v>
      </c>
      <c r="Q1023" s="2"/>
      <c r="R1023" s="151">
        <v>45261</v>
      </c>
      <c r="S1023" s="151"/>
      <c r="T1023" s="151"/>
      <c r="U1023" s="151">
        <v>45603</v>
      </c>
      <c r="V1023" s="151">
        <v>45534</v>
      </c>
      <c r="W1023" s="2">
        <f>VLOOKUP(Table1[[#This Row],[Status]],Auxiliar!$B$16:$D$24,3,0)*Table1[[#This Row],[Estimação (horas)]]</f>
        <v>0.1</v>
      </c>
      <c r="X1023" s="2"/>
    </row>
    <row r="1024" spans="2:24" ht="17.7" hidden="1" customHeight="1">
      <c r="B1024" s="12" t="s">
        <v>26</v>
      </c>
      <c r="C1024" s="12" t="s">
        <v>181</v>
      </c>
      <c r="D1024" s="12" t="s">
        <v>1244</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1198</v>
      </c>
      <c r="L1024" s="2" t="s">
        <v>649</v>
      </c>
      <c r="M1024" s="20" t="s">
        <v>1195</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7" hidden="1" customHeight="1">
      <c r="B1025" s="12" t="s">
        <v>26</v>
      </c>
      <c r="C1025" s="12" t="s">
        <v>181</v>
      </c>
      <c r="D1025" s="12" t="s">
        <v>1244</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1190</v>
      </c>
      <c r="L1025" s="2" t="s">
        <v>649</v>
      </c>
      <c r="M1025" s="20" t="s">
        <v>1195</v>
      </c>
      <c r="N1025" s="47">
        <v>45540</v>
      </c>
      <c r="O1025" s="20">
        <f>INDEX(Auxiliar!$D$5:$F$13,MATCH(Table1[[#This Row],[Tipologia_Testes]],Auxiliar!$B$5:$B$13,0),MATCH(Table1[[#This Row],[Complexidade]],Auxiliar!$D$4:$F$4,0))</f>
        <v>0.1</v>
      </c>
      <c r="P1025" s="2" t="s">
        <v>1261</v>
      </c>
      <c r="Q1025" s="2"/>
      <c r="R1025" s="151">
        <v>45261</v>
      </c>
      <c r="S1025" s="151"/>
      <c r="T1025" s="151"/>
      <c r="U1025" s="151">
        <v>45603</v>
      </c>
      <c r="V1025" s="151">
        <v>45534</v>
      </c>
      <c r="W1025" s="2">
        <f>VLOOKUP(Table1[[#This Row],[Status]],Auxiliar!$B$16:$D$24,3,0)*Table1[[#This Row],[Estimação (horas)]]</f>
        <v>0.1</v>
      </c>
      <c r="X1025" s="2"/>
    </row>
    <row r="1026" spans="2:24" ht="17.7" hidden="1" customHeight="1">
      <c r="B1026" s="12" t="s">
        <v>26</v>
      </c>
      <c r="C1026" s="12" t="s">
        <v>181</v>
      </c>
      <c r="D1026" s="12" t="s">
        <v>1244</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1198</v>
      </c>
      <c r="L1026" s="2" t="s">
        <v>649</v>
      </c>
      <c r="M1026" s="20" t="s">
        <v>1195</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7" hidden="1" customHeight="1">
      <c r="B1027" s="12" t="s">
        <v>26</v>
      </c>
      <c r="C1027" s="12" t="s">
        <v>181</v>
      </c>
      <c r="D1027" s="12" t="s">
        <v>1244</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1190</v>
      </c>
      <c r="L1027" s="2" t="s">
        <v>649</v>
      </c>
      <c r="M1027" s="20" t="s">
        <v>1195</v>
      </c>
      <c r="N1027" s="47">
        <v>45540</v>
      </c>
      <c r="O1027" s="20">
        <f>INDEX(Auxiliar!$D$5:$F$13,MATCH(Table1[[#This Row],[Tipologia_Testes]],Auxiliar!$B$5:$B$13,0),MATCH(Table1[[#This Row],[Complexidade]],Auxiliar!$D$4:$F$4,0))</f>
        <v>0.1</v>
      </c>
      <c r="P1027" s="2" t="s">
        <v>1261</v>
      </c>
      <c r="Q1027" s="2"/>
      <c r="R1027" s="151">
        <v>45261</v>
      </c>
      <c r="S1027" s="151"/>
      <c r="T1027" s="151"/>
      <c r="U1027" s="151">
        <v>45603</v>
      </c>
      <c r="V1027" s="151">
        <v>45534</v>
      </c>
      <c r="W1027" s="2">
        <f>VLOOKUP(Table1[[#This Row],[Status]],Auxiliar!$B$16:$D$24,3,0)*Table1[[#This Row],[Estimação (horas)]]</f>
        <v>0.1</v>
      </c>
      <c r="X1027" s="2"/>
    </row>
    <row r="1028" spans="2:24" ht="17.7" hidden="1" customHeight="1">
      <c r="B1028" s="12" t="s">
        <v>26</v>
      </c>
      <c r="C1028" s="12" t="s">
        <v>181</v>
      </c>
      <c r="D1028" s="12" t="s">
        <v>1244</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1198</v>
      </c>
      <c r="L1028" s="2" t="s">
        <v>649</v>
      </c>
      <c r="M1028" s="20" t="s">
        <v>1195</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7" hidden="1" customHeight="1">
      <c r="B1029" s="12" t="s">
        <v>26</v>
      </c>
      <c r="C1029" s="12" t="s">
        <v>181</v>
      </c>
      <c r="D1029" s="12" t="s">
        <v>1244</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1190</v>
      </c>
      <c r="L1029" s="2" t="s">
        <v>649</v>
      </c>
      <c r="M1029" s="20" t="s">
        <v>1195</v>
      </c>
      <c r="N1029" s="47">
        <v>45540</v>
      </c>
      <c r="O1029" s="20">
        <f>INDEX(Auxiliar!$D$5:$F$13,MATCH(Table1[[#This Row],[Tipologia_Testes]],Auxiliar!$B$5:$B$13,0),MATCH(Table1[[#This Row],[Complexidade]],Auxiliar!$D$4:$F$4,0))</f>
        <v>0.1</v>
      </c>
      <c r="P1029" s="2" t="s">
        <v>1261</v>
      </c>
      <c r="Q1029" s="2"/>
      <c r="R1029" s="151">
        <v>45261</v>
      </c>
      <c r="S1029" s="151"/>
      <c r="T1029" s="151"/>
      <c r="U1029" s="151">
        <v>45603</v>
      </c>
      <c r="V1029" s="151">
        <v>45534</v>
      </c>
      <c r="W1029" s="2">
        <f>VLOOKUP(Table1[[#This Row],[Status]],Auxiliar!$B$16:$D$24,3,0)*Table1[[#This Row],[Estimação (horas)]]</f>
        <v>0.1</v>
      </c>
      <c r="X1029" s="2"/>
    </row>
    <row r="1030" spans="2:24" ht="17.7" hidden="1" customHeight="1">
      <c r="B1030" s="12" t="s">
        <v>26</v>
      </c>
      <c r="C1030" s="12" t="s">
        <v>181</v>
      </c>
      <c r="D1030" s="12" t="s">
        <v>1244</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1198</v>
      </c>
      <c r="L1030" s="2" t="s">
        <v>649</v>
      </c>
      <c r="M1030" s="20" t="s">
        <v>1195</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7" hidden="1" customHeight="1">
      <c r="B1031" s="12" t="s">
        <v>26</v>
      </c>
      <c r="C1031" s="12" t="s">
        <v>181</v>
      </c>
      <c r="D1031" s="12" t="s">
        <v>1244</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1190</v>
      </c>
      <c r="L1031" s="2" t="s">
        <v>649</v>
      </c>
      <c r="M1031" s="20" t="s">
        <v>1195</v>
      </c>
      <c r="N1031" s="47">
        <v>45540</v>
      </c>
      <c r="O1031" s="20">
        <f>INDEX(Auxiliar!$D$5:$F$13,MATCH(Table1[[#This Row],[Tipologia_Testes]],Auxiliar!$B$5:$B$13,0),MATCH(Table1[[#This Row],[Complexidade]],Auxiliar!$D$4:$F$4,0))</f>
        <v>0.1</v>
      </c>
      <c r="P1031" s="2" t="s">
        <v>1261</v>
      </c>
      <c r="Q1031" s="2"/>
      <c r="R1031" s="151">
        <v>45261</v>
      </c>
      <c r="S1031" s="151"/>
      <c r="T1031" s="151"/>
      <c r="U1031" s="151">
        <v>45603</v>
      </c>
      <c r="V1031" s="151">
        <v>45534</v>
      </c>
      <c r="W1031" s="2">
        <f>VLOOKUP(Table1[[#This Row],[Status]],Auxiliar!$B$16:$D$24,3,0)*Table1[[#This Row],[Estimação (horas)]]</f>
        <v>0.1</v>
      </c>
      <c r="X1031" s="2"/>
    </row>
    <row r="1032" spans="2:24" ht="17.7" hidden="1" customHeight="1">
      <c r="B1032" s="12" t="s">
        <v>26</v>
      </c>
      <c r="C1032" s="12" t="s">
        <v>181</v>
      </c>
      <c r="D1032" s="12" t="s">
        <v>1244</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1198</v>
      </c>
      <c r="L1032" s="2" t="s">
        <v>649</v>
      </c>
      <c r="M1032" s="20" t="s">
        <v>1195</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7" hidden="1" customHeight="1">
      <c r="B1033" s="12" t="s">
        <v>26</v>
      </c>
      <c r="C1033" s="12" t="s">
        <v>181</v>
      </c>
      <c r="D1033" s="12" t="s">
        <v>1244</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1190</v>
      </c>
      <c r="L1033" s="2" t="s">
        <v>649</v>
      </c>
      <c r="M1033" s="20" t="s">
        <v>1195</v>
      </c>
      <c r="N1033" s="47">
        <v>45540</v>
      </c>
      <c r="O1033" s="20">
        <f>INDEX(Auxiliar!$D$5:$F$13,MATCH(Table1[[#This Row],[Tipologia_Testes]],Auxiliar!$B$5:$B$13,0),MATCH(Table1[[#This Row],[Complexidade]],Auxiliar!$D$4:$F$4,0))</f>
        <v>0.1</v>
      </c>
      <c r="P1033" s="2" t="s">
        <v>1261</v>
      </c>
      <c r="Q1033" s="2"/>
      <c r="R1033" s="151">
        <v>45261</v>
      </c>
      <c r="S1033" s="151"/>
      <c r="T1033" s="151"/>
      <c r="U1033" s="151">
        <v>45603</v>
      </c>
      <c r="V1033" s="151">
        <v>45534</v>
      </c>
      <c r="W1033" s="2">
        <f>VLOOKUP(Table1[[#This Row],[Status]],Auxiliar!$B$16:$D$24,3,0)*Table1[[#This Row],[Estimação (horas)]]</f>
        <v>0.1</v>
      </c>
      <c r="X1033" s="2"/>
    </row>
    <row r="1034" spans="2:24" ht="17.7" hidden="1" customHeight="1">
      <c r="B1034" s="12" t="s">
        <v>26</v>
      </c>
      <c r="C1034" s="12" t="s">
        <v>181</v>
      </c>
      <c r="D1034" s="12" t="s">
        <v>1244</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1198</v>
      </c>
      <c r="L1034" s="2" t="s">
        <v>649</v>
      </c>
      <c r="M1034" s="20" t="s">
        <v>1195</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7" hidden="1" customHeight="1">
      <c r="B1035" s="12" t="s">
        <v>26</v>
      </c>
      <c r="C1035" s="12" t="s">
        <v>181</v>
      </c>
      <c r="D1035" s="12" t="s">
        <v>1244</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1190</v>
      </c>
      <c r="L1035" s="2" t="s">
        <v>649</v>
      </c>
      <c r="M1035" s="20" t="s">
        <v>1195</v>
      </c>
      <c r="N1035" s="47">
        <v>45540</v>
      </c>
      <c r="O1035" s="20">
        <f>INDEX(Auxiliar!$D$5:$F$13,MATCH(Table1[[#This Row],[Tipologia_Testes]],Auxiliar!$B$5:$B$13,0),MATCH(Table1[[#This Row],[Complexidade]],Auxiliar!$D$4:$F$4,0))</f>
        <v>0.1</v>
      </c>
      <c r="P1035" s="2" t="s">
        <v>1261</v>
      </c>
      <c r="Q1035" s="2"/>
      <c r="R1035" s="151">
        <v>45261</v>
      </c>
      <c r="S1035" s="151"/>
      <c r="T1035" s="151"/>
      <c r="U1035" s="151">
        <v>45603</v>
      </c>
      <c r="V1035" s="151">
        <v>45534</v>
      </c>
      <c r="W1035" s="2">
        <f>VLOOKUP(Table1[[#This Row],[Status]],Auxiliar!$B$16:$D$24,3,0)*Table1[[#This Row],[Estimação (horas)]]</f>
        <v>0.1</v>
      </c>
      <c r="X1035" s="2"/>
    </row>
    <row r="1036" spans="2:24" ht="17.7" hidden="1" customHeight="1">
      <c r="B1036" s="12" t="s">
        <v>26</v>
      </c>
      <c r="C1036" s="12" t="s">
        <v>181</v>
      </c>
      <c r="D1036" s="12" t="s">
        <v>1244</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1198</v>
      </c>
      <c r="L1036" s="2" t="s">
        <v>649</v>
      </c>
      <c r="M1036" s="20" t="s">
        <v>1195</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7" hidden="1" customHeight="1">
      <c r="B1037" s="12" t="s">
        <v>26</v>
      </c>
      <c r="C1037" s="12" t="s">
        <v>181</v>
      </c>
      <c r="D1037" s="12" t="s">
        <v>1244</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1190</v>
      </c>
      <c r="L1037" s="2" t="s">
        <v>649</v>
      </c>
      <c r="M1037" s="20" t="s">
        <v>1195</v>
      </c>
      <c r="N1037" s="47">
        <v>45540</v>
      </c>
      <c r="O1037" s="20">
        <f>INDEX(Auxiliar!$D$5:$F$13,MATCH(Table1[[#This Row],[Tipologia_Testes]],Auxiliar!$B$5:$B$13,0),MATCH(Table1[[#This Row],[Complexidade]],Auxiliar!$D$4:$F$4,0))</f>
        <v>0.1</v>
      </c>
      <c r="P1037" s="2" t="s">
        <v>1261</v>
      </c>
      <c r="Q1037" s="2"/>
      <c r="R1037" s="151">
        <v>45261</v>
      </c>
      <c r="S1037" s="151"/>
      <c r="T1037" s="151"/>
      <c r="U1037" s="151">
        <v>45603</v>
      </c>
      <c r="V1037" s="151">
        <v>45534</v>
      </c>
      <c r="W1037" s="2">
        <f>VLOOKUP(Table1[[#This Row],[Status]],Auxiliar!$B$16:$D$24,3,0)*Table1[[#This Row],[Estimação (horas)]]</f>
        <v>0.1</v>
      </c>
      <c r="X1037" s="2"/>
    </row>
    <row r="1038" spans="2:24" ht="17.7" hidden="1" customHeight="1">
      <c r="B1038" s="12" t="s">
        <v>26</v>
      </c>
      <c r="C1038" s="12" t="s">
        <v>181</v>
      </c>
      <c r="D1038" s="12" t="s">
        <v>1244</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1198</v>
      </c>
      <c r="L1038" s="2" t="s">
        <v>649</v>
      </c>
      <c r="M1038" s="20" t="s">
        <v>1195</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7" hidden="1" customHeight="1">
      <c r="B1039" s="12" t="s">
        <v>26</v>
      </c>
      <c r="C1039" s="12" t="s">
        <v>181</v>
      </c>
      <c r="D1039" s="12" t="s">
        <v>1244</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1190</v>
      </c>
      <c r="L1039" s="2" t="s">
        <v>649</v>
      </c>
      <c r="M1039" s="20" t="s">
        <v>1195</v>
      </c>
      <c r="N1039" s="47">
        <v>45540</v>
      </c>
      <c r="O1039" s="20">
        <f>INDEX(Auxiliar!$D$5:$F$13,MATCH(Table1[[#This Row],[Tipologia_Testes]],Auxiliar!$B$5:$B$13,0),MATCH(Table1[[#This Row],[Complexidade]],Auxiliar!$D$4:$F$4,0))</f>
        <v>0.1</v>
      </c>
      <c r="P1039" s="2" t="s">
        <v>1261</v>
      </c>
      <c r="Q1039" s="2"/>
      <c r="R1039" s="151">
        <v>45261</v>
      </c>
      <c r="S1039" s="151"/>
      <c r="T1039" s="151"/>
      <c r="U1039" s="151">
        <v>45603</v>
      </c>
      <c r="V1039" s="151">
        <v>45534</v>
      </c>
      <c r="W1039" s="2">
        <f>VLOOKUP(Table1[[#This Row],[Status]],Auxiliar!$B$16:$D$24,3,0)*Table1[[#This Row],[Estimação (horas)]]</f>
        <v>0.1</v>
      </c>
      <c r="X1039" s="2"/>
    </row>
    <row r="1040" spans="2:24" ht="17.7" hidden="1" customHeight="1">
      <c r="B1040" s="12" t="s">
        <v>26</v>
      </c>
      <c r="C1040" s="12" t="s">
        <v>181</v>
      </c>
      <c r="D1040" s="12" t="s">
        <v>1244</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1198</v>
      </c>
      <c r="L1040" s="2" t="s">
        <v>649</v>
      </c>
      <c r="M1040" s="20" t="s">
        <v>1195</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7" hidden="1" customHeight="1">
      <c r="B1041" s="12" t="s">
        <v>26</v>
      </c>
      <c r="C1041" s="12" t="s">
        <v>181</v>
      </c>
      <c r="D1041" s="12" t="s">
        <v>1244</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1190</v>
      </c>
      <c r="L1041" s="2" t="s">
        <v>649</v>
      </c>
      <c r="M1041" s="20" t="s">
        <v>1195</v>
      </c>
      <c r="N1041" s="47">
        <v>45540</v>
      </c>
      <c r="O1041" s="20">
        <f>INDEX(Auxiliar!$D$5:$F$13,MATCH(Table1[[#This Row],[Tipologia_Testes]],Auxiliar!$B$5:$B$13,0),MATCH(Table1[[#This Row],[Complexidade]],Auxiliar!$D$4:$F$4,0))</f>
        <v>0.1</v>
      </c>
      <c r="P1041" s="2" t="s">
        <v>1261</v>
      </c>
      <c r="Q1041" s="2"/>
      <c r="R1041" s="151">
        <v>45261</v>
      </c>
      <c r="S1041" s="151"/>
      <c r="T1041" s="151"/>
      <c r="U1041" s="151">
        <v>45603</v>
      </c>
      <c r="V1041" s="151">
        <v>45534</v>
      </c>
      <c r="W1041" s="2">
        <f>VLOOKUP(Table1[[#This Row],[Status]],Auxiliar!$B$16:$D$24,3,0)*Table1[[#This Row],[Estimação (horas)]]</f>
        <v>0.1</v>
      </c>
      <c r="X1041" s="2"/>
    </row>
    <row r="1042" spans="2:24" ht="17.7" hidden="1" customHeight="1">
      <c r="B1042" s="12" t="s">
        <v>26</v>
      </c>
      <c r="C1042" s="12" t="s">
        <v>181</v>
      </c>
      <c r="D1042" s="12" t="s">
        <v>1244</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1198</v>
      </c>
      <c r="L1042" s="2" t="s">
        <v>649</v>
      </c>
      <c r="M1042" s="20" t="s">
        <v>1195</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7" hidden="1" customHeight="1">
      <c r="B1043" s="12" t="s">
        <v>26</v>
      </c>
      <c r="C1043" s="12" t="s">
        <v>181</v>
      </c>
      <c r="D1043" s="12" t="s">
        <v>1244</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1190</v>
      </c>
      <c r="L1043" s="2" t="s">
        <v>649</v>
      </c>
      <c r="M1043" s="20" t="s">
        <v>1195</v>
      </c>
      <c r="N1043" s="47">
        <v>45540</v>
      </c>
      <c r="O1043" s="20">
        <f>INDEX(Auxiliar!$D$5:$F$13,MATCH(Table1[[#This Row],[Tipologia_Testes]],Auxiliar!$B$5:$B$13,0),MATCH(Table1[[#This Row],[Complexidade]],Auxiliar!$D$4:$F$4,0))</f>
        <v>0.1</v>
      </c>
      <c r="P1043" s="2" t="s">
        <v>1261</v>
      </c>
      <c r="Q1043" s="2"/>
      <c r="R1043" s="151">
        <v>45261</v>
      </c>
      <c r="S1043" s="151"/>
      <c r="T1043" s="151"/>
      <c r="U1043" s="151">
        <v>45603</v>
      </c>
      <c r="V1043" s="151">
        <v>45534</v>
      </c>
      <c r="W1043" s="2">
        <f>VLOOKUP(Table1[[#This Row],[Status]],Auxiliar!$B$16:$D$24,3,0)*Table1[[#This Row],[Estimação (horas)]]</f>
        <v>0.1</v>
      </c>
      <c r="X1043" s="2"/>
    </row>
    <row r="1044" spans="2:24" ht="17.7" hidden="1" customHeight="1">
      <c r="B1044" s="12" t="s">
        <v>26</v>
      </c>
      <c r="C1044" s="12" t="s">
        <v>181</v>
      </c>
      <c r="D1044" s="12" t="s">
        <v>1244</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1198</v>
      </c>
      <c r="L1044" s="2" t="s">
        <v>649</v>
      </c>
      <c r="M1044" s="20" t="s">
        <v>1195</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7" hidden="1" customHeight="1">
      <c r="B1045" s="12" t="s">
        <v>26</v>
      </c>
      <c r="C1045" s="12" t="s">
        <v>181</v>
      </c>
      <c r="D1045" s="12" t="s">
        <v>1244</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1190</v>
      </c>
      <c r="L1045" s="2" t="s">
        <v>649</v>
      </c>
      <c r="M1045" s="20" t="s">
        <v>1195</v>
      </c>
      <c r="N1045" s="47">
        <v>45540</v>
      </c>
      <c r="O1045" s="20">
        <f>INDEX(Auxiliar!$D$5:$F$13,MATCH(Table1[[#This Row],[Tipologia_Testes]],Auxiliar!$B$5:$B$13,0),MATCH(Table1[[#This Row],[Complexidade]],Auxiliar!$D$4:$F$4,0))</f>
        <v>0.1</v>
      </c>
      <c r="P1045" s="2" t="s">
        <v>1261</v>
      </c>
      <c r="Q1045" s="2"/>
      <c r="R1045" s="151">
        <v>45261</v>
      </c>
      <c r="S1045" s="151"/>
      <c r="T1045" s="151"/>
      <c r="U1045" s="151">
        <v>45603</v>
      </c>
      <c r="V1045" s="151">
        <v>45534</v>
      </c>
      <c r="W1045" s="2">
        <f>VLOOKUP(Table1[[#This Row],[Status]],Auxiliar!$B$16:$D$24,3,0)*Table1[[#This Row],[Estimação (horas)]]</f>
        <v>0.1</v>
      </c>
      <c r="X1045" s="2"/>
    </row>
    <row r="1046" spans="2:24" ht="17.7" hidden="1" customHeight="1">
      <c r="B1046" s="12" t="s">
        <v>26</v>
      </c>
      <c r="C1046" s="12" t="s">
        <v>181</v>
      </c>
      <c r="D1046" s="12" t="s">
        <v>1244</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1198</v>
      </c>
      <c r="L1046" s="2" t="s">
        <v>649</v>
      </c>
      <c r="M1046" s="20" t="s">
        <v>1195</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7" hidden="1" customHeight="1">
      <c r="B1047" s="12" t="s">
        <v>26</v>
      </c>
      <c r="C1047" s="12" t="s">
        <v>181</v>
      </c>
      <c r="D1047" s="12" t="s">
        <v>1244</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1190</v>
      </c>
      <c r="L1047" s="2" t="s">
        <v>649</v>
      </c>
      <c r="M1047" s="20" t="s">
        <v>1195</v>
      </c>
      <c r="N1047" s="47">
        <v>45540</v>
      </c>
      <c r="O1047" s="20">
        <f>INDEX(Auxiliar!$D$5:$F$13,MATCH(Table1[[#This Row],[Tipologia_Testes]],Auxiliar!$B$5:$B$13,0),MATCH(Table1[[#This Row],[Complexidade]],Auxiliar!$D$4:$F$4,0))</f>
        <v>0.1</v>
      </c>
      <c r="P1047" s="2" t="s">
        <v>1261</v>
      </c>
      <c r="Q1047" s="2"/>
      <c r="R1047" s="151">
        <v>45261</v>
      </c>
      <c r="S1047" s="151"/>
      <c r="T1047" s="151"/>
      <c r="U1047" s="151">
        <v>45603</v>
      </c>
      <c r="V1047" s="151">
        <v>45534</v>
      </c>
      <c r="W1047" s="2">
        <f>VLOOKUP(Table1[[#This Row],[Status]],Auxiliar!$B$16:$D$24,3,0)*Table1[[#This Row],[Estimação (horas)]]</f>
        <v>0.1</v>
      </c>
      <c r="X1047" s="2"/>
    </row>
    <row r="1048" spans="2:24" ht="17.7" hidden="1" customHeight="1">
      <c r="B1048" s="12" t="s">
        <v>26</v>
      </c>
      <c r="C1048" s="12" t="s">
        <v>181</v>
      </c>
      <c r="D1048" s="12" t="s">
        <v>1244</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1198</v>
      </c>
      <c r="L1048" s="2" t="s">
        <v>649</v>
      </c>
      <c r="M1048" s="20" t="s">
        <v>1195</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7" hidden="1" customHeight="1">
      <c r="B1049" s="12" t="s">
        <v>26</v>
      </c>
      <c r="C1049" s="12" t="s">
        <v>181</v>
      </c>
      <c r="D1049" s="12" t="s">
        <v>1244</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1190</v>
      </c>
      <c r="L1049" s="2" t="s">
        <v>649</v>
      </c>
      <c r="M1049" s="20" t="s">
        <v>1195</v>
      </c>
      <c r="N1049" s="47">
        <v>45540</v>
      </c>
      <c r="O1049" s="20">
        <f>INDEX(Auxiliar!$D$5:$F$13,MATCH(Table1[[#This Row],[Tipologia_Testes]],Auxiliar!$B$5:$B$13,0),MATCH(Table1[[#This Row],[Complexidade]],Auxiliar!$D$4:$F$4,0))</f>
        <v>0.1</v>
      </c>
      <c r="P1049" s="2" t="s">
        <v>1261</v>
      </c>
      <c r="Q1049" s="2"/>
      <c r="R1049" s="151">
        <v>45261</v>
      </c>
      <c r="S1049" s="151"/>
      <c r="T1049" s="151"/>
      <c r="U1049" s="151">
        <v>45603</v>
      </c>
      <c r="V1049" s="151">
        <v>45534</v>
      </c>
      <c r="W1049" s="2">
        <f>VLOOKUP(Table1[[#This Row],[Status]],Auxiliar!$B$16:$D$24,3,0)*Table1[[#This Row],[Estimação (horas)]]</f>
        <v>0.1</v>
      </c>
      <c r="X1049" s="2"/>
    </row>
    <row r="1050" spans="2:24" ht="17.7" hidden="1" customHeight="1">
      <c r="B1050" s="12" t="s">
        <v>26</v>
      </c>
      <c r="C1050" s="12" t="s">
        <v>181</v>
      </c>
      <c r="D1050" s="12" t="s">
        <v>1244</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1198</v>
      </c>
      <c r="L1050" s="2" t="s">
        <v>649</v>
      </c>
      <c r="M1050" s="20" t="s">
        <v>1195</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7" hidden="1" customHeight="1">
      <c r="B1051" s="12" t="s">
        <v>26</v>
      </c>
      <c r="C1051" s="12" t="s">
        <v>181</v>
      </c>
      <c r="D1051" s="12" t="s">
        <v>1244</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1190</v>
      </c>
      <c r="L1051" s="2" t="s">
        <v>649</v>
      </c>
      <c r="M1051" s="20" t="s">
        <v>1195</v>
      </c>
      <c r="N1051" s="47">
        <v>45540</v>
      </c>
      <c r="O1051" s="20">
        <f>INDEX(Auxiliar!$D$5:$F$13,MATCH(Table1[[#This Row],[Tipologia_Testes]],Auxiliar!$B$5:$B$13,0),MATCH(Table1[[#This Row],[Complexidade]],Auxiliar!$D$4:$F$4,0))</f>
        <v>0.1</v>
      </c>
      <c r="P1051" s="2" t="s">
        <v>1261</v>
      </c>
      <c r="Q1051" s="2"/>
      <c r="R1051" s="151">
        <v>45261</v>
      </c>
      <c r="S1051" s="151"/>
      <c r="T1051" s="151"/>
      <c r="U1051" s="151">
        <v>45603</v>
      </c>
      <c r="V1051" s="151">
        <v>45534</v>
      </c>
      <c r="W1051" s="2">
        <f>VLOOKUP(Table1[[#This Row],[Status]],Auxiliar!$B$16:$D$24,3,0)*Table1[[#This Row],[Estimação (horas)]]</f>
        <v>0.1</v>
      </c>
      <c r="X1051" s="2"/>
    </row>
    <row r="1052" spans="2:24" ht="17.7" hidden="1" customHeight="1">
      <c r="B1052" s="12" t="s">
        <v>26</v>
      </c>
      <c r="C1052" s="12" t="s">
        <v>181</v>
      </c>
      <c r="D1052" s="12" t="s">
        <v>1244</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1198</v>
      </c>
      <c r="L1052" s="2" t="s">
        <v>649</v>
      </c>
      <c r="M1052" s="20" t="s">
        <v>1195</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7" hidden="1" customHeight="1">
      <c r="B1053" s="12" t="s">
        <v>26</v>
      </c>
      <c r="C1053" s="12" t="s">
        <v>181</v>
      </c>
      <c r="D1053" s="12" t="s">
        <v>1244</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1190</v>
      </c>
      <c r="L1053" s="2" t="s">
        <v>649</v>
      </c>
      <c r="M1053" s="20" t="s">
        <v>1195</v>
      </c>
      <c r="N1053" s="47">
        <v>45540</v>
      </c>
      <c r="O1053" s="20">
        <f>INDEX(Auxiliar!$D$5:$F$13,MATCH(Table1[[#This Row],[Tipologia_Testes]],Auxiliar!$B$5:$B$13,0),MATCH(Table1[[#This Row],[Complexidade]],Auxiliar!$D$4:$F$4,0))</f>
        <v>0.1</v>
      </c>
      <c r="P1053" s="2" t="s">
        <v>1261</v>
      </c>
      <c r="Q1053" s="2"/>
      <c r="R1053" s="151">
        <v>45261</v>
      </c>
      <c r="S1053" s="151"/>
      <c r="T1053" s="151"/>
      <c r="U1053" s="151">
        <v>45603</v>
      </c>
      <c r="V1053" s="151">
        <v>45534</v>
      </c>
      <c r="W1053" s="2">
        <f>VLOOKUP(Table1[[#This Row],[Status]],Auxiliar!$B$16:$D$24,3,0)*Table1[[#This Row],[Estimação (horas)]]</f>
        <v>0.1</v>
      </c>
      <c r="X1053" s="2"/>
    </row>
    <row r="1054" spans="2:24" ht="17.7" hidden="1" customHeight="1">
      <c r="B1054" s="12" t="s">
        <v>26</v>
      </c>
      <c r="C1054" s="12" t="s">
        <v>181</v>
      </c>
      <c r="D1054" s="12" t="s">
        <v>1244</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1198</v>
      </c>
      <c r="L1054" s="2" t="s">
        <v>649</v>
      </c>
      <c r="M1054" s="20" t="s">
        <v>1195</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7" hidden="1" customHeight="1">
      <c r="B1055" s="12" t="s">
        <v>26</v>
      </c>
      <c r="C1055" s="12" t="s">
        <v>181</v>
      </c>
      <c r="D1055" s="12" t="s">
        <v>1245</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1198</v>
      </c>
      <c r="L1055" s="2" t="s">
        <v>649</v>
      </c>
      <c r="M1055" s="20" t="s">
        <v>1195</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1256</v>
      </c>
    </row>
    <row r="1056" spans="2:24" ht="17.7" hidden="1" customHeight="1">
      <c r="B1056" s="12" t="s">
        <v>26</v>
      </c>
      <c r="C1056" s="12" t="s">
        <v>181</v>
      </c>
      <c r="D1056" s="12" t="s">
        <v>1245</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1190</v>
      </c>
      <c r="L1056" s="2" t="s">
        <v>1193</v>
      </c>
      <c r="M1056" s="20" t="s">
        <v>1195</v>
      </c>
      <c r="N1056" s="47">
        <v>45485</v>
      </c>
      <c r="O1056" s="20">
        <f>INDEX(Auxiliar!$D$5:$F$13,MATCH(Table1[[#This Row],[Tipologia_Testes]],Auxiliar!$B$5:$B$13,0),MATCH(Table1[[#This Row],[Complexidade]],Auxiliar!$D$4:$F$4,0))</f>
        <v>0.1</v>
      </c>
      <c r="P1056" s="2" t="s">
        <v>1262</v>
      </c>
      <c r="Q1056" s="2"/>
      <c r="R1056" s="151">
        <v>45261</v>
      </c>
      <c r="S1056" s="151"/>
      <c r="T1056" s="151"/>
      <c r="U1056" s="151">
        <v>45603</v>
      </c>
      <c r="V1056" s="151"/>
      <c r="W1056" s="2">
        <f>VLOOKUP(Table1[[#This Row],[Status]],Auxiliar!$B$16:$D$24,3,0)*Table1[[#This Row],[Estimação (horas)]]</f>
        <v>0.1</v>
      </c>
      <c r="X1056" s="2" t="s">
        <v>1256</v>
      </c>
    </row>
    <row r="1057" spans="2:24" ht="17.7" hidden="1" customHeight="1">
      <c r="B1057" s="12" t="s">
        <v>26</v>
      </c>
      <c r="C1057" s="12" t="s">
        <v>181</v>
      </c>
      <c r="D1057" s="12" t="s">
        <v>1245</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1198</v>
      </c>
      <c r="L1057" s="2" t="s">
        <v>1193</v>
      </c>
      <c r="M1057" s="20" t="s">
        <v>1195</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1256</v>
      </c>
    </row>
    <row r="1058" spans="2:24" ht="17.7" hidden="1" customHeight="1">
      <c r="B1058" s="12" t="s">
        <v>26</v>
      </c>
      <c r="C1058" s="12" t="s">
        <v>181</v>
      </c>
      <c r="D1058" s="12" t="s">
        <v>1245</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1198</v>
      </c>
      <c r="L1058" s="2" t="s">
        <v>1193</v>
      </c>
      <c r="M1058" s="20" t="s">
        <v>1195</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1256</v>
      </c>
    </row>
    <row r="1059" spans="2:24" ht="17.7" hidden="1" customHeight="1">
      <c r="B1059" s="12" t="s">
        <v>26</v>
      </c>
      <c r="C1059" s="12" t="s">
        <v>181</v>
      </c>
      <c r="D1059" s="12" t="s">
        <v>1245</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1190</v>
      </c>
      <c r="L1059" s="2" t="s">
        <v>1193</v>
      </c>
      <c r="M1059" s="20" t="s">
        <v>1195</v>
      </c>
      <c r="N1059" s="47">
        <v>45569</v>
      </c>
      <c r="O1059" s="20">
        <f>INDEX(Auxiliar!$D$5:$F$13,MATCH(Table1[[#This Row],[Tipologia_Testes]],Auxiliar!$B$5:$B$13,0),MATCH(Table1[[#This Row],[Complexidade]],Auxiliar!$D$4:$F$4,0))</f>
        <v>0.1</v>
      </c>
      <c r="P1059" s="2" t="s">
        <v>1262</v>
      </c>
      <c r="Q1059" s="2"/>
      <c r="R1059" s="151">
        <v>45261</v>
      </c>
      <c r="S1059" s="151"/>
      <c r="T1059" s="151"/>
      <c r="U1059" s="151">
        <v>45603</v>
      </c>
      <c r="V1059" s="151"/>
      <c r="W1059" s="2">
        <f>VLOOKUP(Table1[[#This Row],[Status]],Auxiliar!$B$16:$D$24,3,0)*Table1[[#This Row],[Estimação (horas)]]</f>
        <v>0.1</v>
      </c>
      <c r="X1059" s="2" t="s">
        <v>1256</v>
      </c>
    </row>
    <row r="1060" spans="2:24" ht="17.7" hidden="1" customHeight="1">
      <c r="B1060" s="12" t="s">
        <v>26</v>
      </c>
      <c r="C1060" s="12" t="s">
        <v>181</v>
      </c>
      <c r="D1060" s="12" t="s">
        <v>1245</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1198</v>
      </c>
      <c r="L1060" s="2" t="s">
        <v>1193</v>
      </c>
      <c r="M1060" s="20" t="s">
        <v>1195</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1256</v>
      </c>
    </row>
    <row r="1061" spans="2:24" ht="17.7" hidden="1" customHeight="1">
      <c r="B1061" s="12" t="s">
        <v>26</v>
      </c>
      <c r="C1061" s="12" t="s">
        <v>181</v>
      </c>
      <c r="D1061" s="12" t="s">
        <v>1245</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1190</v>
      </c>
      <c r="L1061" s="2" t="s">
        <v>1193</v>
      </c>
      <c r="M1061" s="20" t="s">
        <v>1195</v>
      </c>
      <c r="N1061" s="47">
        <v>45485</v>
      </c>
      <c r="O1061" s="20">
        <f>INDEX(Auxiliar!$D$5:$F$13,MATCH(Table1[[#This Row],[Tipologia_Testes]],Auxiliar!$B$5:$B$13,0),MATCH(Table1[[#This Row],[Complexidade]],Auxiliar!$D$4:$F$4,0))</f>
        <v>0.1</v>
      </c>
      <c r="P1061" s="2" t="s">
        <v>1263</v>
      </c>
      <c r="Q1061" s="2"/>
      <c r="R1061" s="151">
        <v>45261</v>
      </c>
      <c r="S1061" s="151"/>
      <c r="T1061" s="151"/>
      <c r="U1061" s="151">
        <v>45603</v>
      </c>
      <c r="V1061" s="151"/>
      <c r="W1061" s="2">
        <f>VLOOKUP(Table1[[#This Row],[Status]],Auxiliar!$B$16:$D$24,3,0)*Table1[[#This Row],[Estimação (horas)]]</f>
        <v>0.1</v>
      </c>
      <c r="X1061" s="2" t="s">
        <v>1256</v>
      </c>
    </row>
    <row r="1062" spans="2:24" ht="17.7" hidden="1" customHeight="1">
      <c r="B1062" s="12" t="s">
        <v>26</v>
      </c>
      <c r="C1062" s="12" t="s">
        <v>181</v>
      </c>
      <c r="D1062" s="12" t="s">
        <v>1245</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1198</v>
      </c>
      <c r="L1062" s="2" t="s">
        <v>1193</v>
      </c>
      <c r="M1062" s="20" t="s">
        <v>1195</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1256</v>
      </c>
    </row>
    <row r="1063" spans="2:24" ht="17.7" hidden="1" customHeight="1">
      <c r="B1063" s="12" t="s">
        <v>26</v>
      </c>
      <c r="C1063" s="12" t="s">
        <v>181</v>
      </c>
      <c r="D1063" s="12" t="s">
        <v>1245</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1190</v>
      </c>
      <c r="L1063" s="2" t="s">
        <v>1193</v>
      </c>
      <c r="M1063" s="20" t="s">
        <v>1195</v>
      </c>
      <c r="N1063" s="47">
        <v>45485</v>
      </c>
      <c r="O1063" s="20">
        <f>INDEX(Auxiliar!$D$5:$F$13,MATCH(Table1[[#This Row],[Tipologia_Testes]],Auxiliar!$B$5:$B$13,0),MATCH(Table1[[#This Row],[Complexidade]],Auxiliar!$D$4:$F$4,0))</f>
        <v>0.1</v>
      </c>
      <c r="P1063" s="2" t="s">
        <v>1263</v>
      </c>
      <c r="Q1063" s="2"/>
      <c r="R1063" s="151">
        <v>45261</v>
      </c>
      <c r="S1063" s="151"/>
      <c r="T1063" s="151"/>
      <c r="U1063" s="151">
        <v>45603</v>
      </c>
      <c r="V1063" s="151"/>
      <c r="W1063" s="2">
        <f>VLOOKUP(Table1[[#This Row],[Status]],Auxiliar!$B$16:$D$24,3,0)*Table1[[#This Row],[Estimação (horas)]]</f>
        <v>0.1</v>
      </c>
      <c r="X1063" s="2" t="s">
        <v>1256</v>
      </c>
    </row>
    <row r="1064" spans="2:24" ht="17.7" hidden="1" customHeight="1">
      <c r="B1064" s="12" t="s">
        <v>26</v>
      </c>
      <c r="C1064" s="12" t="s">
        <v>181</v>
      </c>
      <c r="D1064" s="12" t="s">
        <v>1245</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1198</v>
      </c>
      <c r="L1064" s="2" t="s">
        <v>1193</v>
      </c>
      <c r="M1064" s="20" t="s">
        <v>1195</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1256</v>
      </c>
    </row>
    <row r="1065" spans="2:24" ht="17.7" hidden="1" customHeight="1">
      <c r="B1065" s="12" t="s">
        <v>26</v>
      </c>
      <c r="C1065" s="12" t="s">
        <v>181</v>
      </c>
      <c r="D1065" s="12" t="s">
        <v>1245</v>
      </c>
      <c r="E1065" s="2" t="s">
        <v>38</v>
      </c>
      <c r="F1065" s="12" t="s">
        <v>2218</v>
      </c>
      <c r="G1065" s="12" t="s">
        <v>279</v>
      </c>
      <c r="H1065" s="57" t="str">
        <f>Table1[[#This Row],[Tabela]]&amp;Table1[[#This Row],[Campo]]</f>
        <v>modesg_inp_risco_fisico_zipcodecod_pais</v>
      </c>
      <c r="I1065" s="3" t="s">
        <v>28</v>
      </c>
      <c r="J1065" s="53">
        <f>VLOOKUP(Table1[[#This Row],[Status]],Auxiliar!$B$16:$C$24,2,0)</f>
        <v>8</v>
      </c>
      <c r="K1065" s="20" t="s">
        <v>1198</v>
      </c>
      <c r="L1065" s="2" t="s">
        <v>1193</v>
      </c>
      <c r="M1065" s="20" t="s">
        <v>1195</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7" hidden="1" customHeight="1">
      <c r="B1066" s="12" t="s">
        <v>26</v>
      </c>
      <c r="C1066" s="12" t="s">
        <v>181</v>
      </c>
      <c r="D1066" s="12" t="s">
        <v>1245</v>
      </c>
      <c r="E1066" s="2" t="s">
        <v>38</v>
      </c>
      <c r="F1066" s="12" t="s">
        <v>2218</v>
      </c>
      <c r="G1066" s="12" t="s">
        <v>2219</v>
      </c>
      <c r="H1066" s="57" t="str">
        <f>Table1[[#This Row],[Tabela]]&amp;Table1[[#This Row],[Campo]]</f>
        <v>modesg_inp_risco_fisico_zipcodelocalizacao</v>
      </c>
      <c r="I1066" s="3" t="s">
        <v>28</v>
      </c>
      <c r="J1066" s="53">
        <f>VLOOKUP(Table1[[#This Row],[Status]],Auxiliar!$B$16:$C$24,2,0)</f>
        <v>8</v>
      </c>
      <c r="K1066" s="20" t="s">
        <v>1198</v>
      </c>
      <c r="L1066" s="2" t="s">
        <v>1193</v>
      </c>
      <c r="M1066" s="20" t="s">
        <v>1195</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7" hidden="1" customHeight="1">
      <c r="B1067" s="12" t="s">
        <v>26</v>
      </c>
      <c r="C1067" s="12" t="s">
        <v>181</v>
      </c>
      <c r="D1067" s="12" t="s">
        <v>1245</v>
      </c>
      <c r="E1067" s="2" t="s">
        <v>38</v>
      </c>
      <c r="F1067" s="12" t="s">
        <v>2218</v>
      </c>
      <c r="G1067" s="12" t="s">
        <v>281</v>
      </c>
      <c r="H1067" s="57" t="str">
        <f>Table1[[#This Row],[Tabela]]&amp;Table1[[#This Row],[Campo]]</f>
        <v>modesg_inp_risco_fisico_zipcodecod_nace_esg</v>
      </c>
      <c r="I1067" s="3" t="s">
        <v>28</v>
      </c>
      <c r="J1067" s="53">
        <f>VLOOKUP(Table1[[#This Row],[Status]],Auxiliar!$B$16:$C$24,2,0)</f>
        <v>8</v>
      </c>
      <c r="K1067" s="20" t="s">
        <v>1198</v>
      </c>
      <c r="L1067" s="2" t="s">
        <v>1193</v>
      </c>
      <c r="M1067" s="20" t="s">
        <v>1195</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7" hidden="1" customHeight="1">
      <c r="B1068" s="12" t="s">
        <v>26</v>
      </c>
      <c r="C1068" s="12" t="s">
        <v>181</v>
      </c>
      <c r="D1068" s="12" t="s">
        <v>1245</v>
      </c>
      <c r="E1068" s="2" t="s">
        <v>38</v>
      </c>
      <c r="F1068" s="12" t="s">
        <v>2218</v>
      </c>
      <c r="G1068" s="12" t="s">
        <v>282</v>
      </c>
      <c r="H1068" s="57" t="str">
        <f>Table1[[#This Row],[Tabela]]&amp;Table1[[#This Row],[Campo]]</f>
        <v>modesg_inp_risco_fisico_zipcodeflg_rsc_fsc_agd</v>
      </c>
      <c r="I1068" s="3" t="s">
        <v>28</v>
      </c>
      <c r="J1068" s="53">
        <f>VLOOKUP(Table1[[#This Row],[Status]],Auxiliar!$B$16:$C$24,2,0)</f>
        <v>8</v>
      </c>
      <c r="K1068" s="20" t="s">
        <v>1198</v>
      </c>
      <c r="L1068" s="2" t="s">
        <v>1193</v>
      </c>
      <c r="M1068" s="20" t="s">
        <v>1195</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7" hidden="1" customHeight="1">
      <c r="B1069" s="12" t="s">
        <v>26</v>
      </c>
      <c r="C1069" s="12" t="s">
        <v>181</v>
      </c>
      <c r="D1069" s="12" t="s">
        <v>1245</v>
      </c>
      <c r="E1069" s="2" t="s">
        <v>38</v>
      </c>
      <c r="F1069" s="12" t="s">
        <v>2218</v>
      </c>
      <c r="G1069" s="12" t="s">
        <v>283</v>
      </c>
      <c r="H1069" s="57" t="str">
        <f>Table1[[#This Row],[Tabela]]&amp;Table1[[#This Row],[Campo]]</f>
        <v>modesg_inp_risco_fisico_zipcodeflg_rsc_fsc_crnc</v>
      </c>
      <c r="I1069" s="3" t="s">
        <v>28</v>
      </c>
      <c r="J1069" s="53">
        <f>VLOOKUP(Table1[[#This Row],[Status]],Auxiliar!$B$16:$C$24,2,0)</f>
        <v>8</v>
      </c>
      <c r="K1069" s="20" t="s">
        <v>1198</v>
      </c>
      <c r="L1069" s="2" t="s">
        <v>1193</v>
      </c>
      <c r="M1069" s="20" t="s">
        <v>1195</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7" hidden="1" customHeight="1">
      <c r="B1070" s="12" t="s">
        <v>26</v>
      </c>
      <c r="C1070" s="12" t="s">
        <v>181</v>
      </c>
      <c r="D1070" s="12" t="s">
        <v>1237</v>
      </c>
      <c r="E1070" s="2" t="s">
        <v>38</v>
      </c>
      <c r="F1070" s="12" t="s">
        <v>217</v>
      </c>
      <c r="G1070" s="12" t="s">
        <v>208</v>
      </c>
      <c r="H1070" s="57" t="str">
        <f>Table1[[#This Row],[Tabela]]&amp;Table1[[#This Row],[Campo]]</f>
        <v>modesg_inp_emss_scibref_date</v>
      </c>
      <c r="I1070" s="2" t="s">
        <v>612</v>
      </c>
      <c r="J1070" s="45">
        <f>VLOOKUP(Table1[[#This Row],[Status]],Auxiliar!$B$16:$C$24,2,0)</f>
        <v>1</v>
      </c>
      <c r="K1070" s="20" t="s">
        <v>1198</v>
      </c>
      <c r="L1070" s="2" t="s">
        <v>1193</v>
      </c>
      <c r="M1070" s="20" t="s">
        <v>1195</v>
      </c>
      <c r="N1070" s="47">
        <v>45490</v>
      </c>
      <c r="O1070" s="20">
        <f>INDEX(Auxiliar!$D$5:$F$13,MATCH(Table1[[#This Row],[Tipologia_Testes]],Auxiliar!$B$5:$B$13,0),MATCH(Table1[[#This Row],[Complexidade]],Auxiliar!$D$4:$F$4,0))</f>
        <v>0.5</v>
      </c>
      <c r="P1070" s="2"/>
      <c r="Q1070" s="2" t="s">
        <v>1240</v>
      </c>
      <c r="R1070" s="151">
        <v>45261</v>
      </c>
      <c r="S1070" s="151"/>
      <c r="T1070" s="151"/>
      <c r="U1070" s="151">
        <v>45603</v>
      </c>
      <c r="V1070" s="151"/>
      <c r="W1070" s="2">
        <f>VLOOKUP(Table1[[#This Row],[Status]],Auxiliar!$B$16:$D$24,3,0)*Table1[[#This Row],[Estimação (horas)]]</f>
        <v>0.5</v>
      </c>
      <c r="X1070" s="2"/>
    </row>
    <row r="1071" spans="2:24" ht="17.7" hidden="1" customHeight="1">
      <c r="B1071" s="12" t="s">
        <v>26</v>
      </c>
      <c r="C1071" s="12" t="s">
        <v>181</v>
      </c>
      <c r="D1071" s="12" t="s">
        <v>1237</v>
      </c>
      <c r="E1071" s="2" t="s">
        <v>38</v>
      </c>
      <c r="F1071" s="12" t="s">
        <v>217</v>
      </c>
      <c r="G1071" s="12" t="s">
        <v>240</v>
      </c>
      <c r="H1071" s="57" t="str">
        <f>Table1[[#This Row],[Tabela]]&amp;Table1[[#This Row],[Campo]]</f>
        <v>modesg_inp_emss_scibccli_kgl</v>
      </c>
      <c r="I1071" s="2" t="s">
        <v>612</v>
      </c>
      <c r="J1071" s="45">
        <f>VLOOKUP(Table1[[#This Row],[Status]],Auxiliar!$B$16:$C$24,2,0)</f>
        <v>1</v>
      </c>
      <c r="K1071" s="20" t="s">
        <v>1190</v>
      </c>
      <c r="L1071" s="2" t="s">
        <v>1193</v>
      </c>
      <c r="M1071" s="20" t="s">
        <v>1195</v>
      </c>
      <c r="N1071" s="47">
        <v>45490</v>
      </c>
      <c r="O1071" s="20">
        <f>INDEX(Auxiliar!$D$5:$F$13,MATCH(Table1[[#This Row],[Tipologia_Testes]],Auxiliar!$B$5:$B$13,0),MATCH(Table1[[#This Row],[Complexidade]],Auxiliar!$D$4:$F$4,0))</f>
        <v>0.1</v>
      </c>
      <c r="P1071" s="2" t="s">
        <v>1257</v>
      </c>
      <c r="Q1071" s="2" t="s">
        <v>1240</v>
      </c>
      <c r="R1071" s="151">
        <v>45261</v>
      </c>
      <c r="S1071" s="151"/>
      <c r="T1071" s="151"/>
      <c r="U1071" s="151">
        <v>45603</v>
      </c>
      <c r="V1071" s="151"/>
      <c r="W1071" s="2">
        <f>VLOOKUP(Table1[[#This Row],[Status]],Auxiliar!$B$16:$D$24,3,0)*Table1[[#This Row],[Estimação (horas)]]</f>
        <v>0.1</v>
      </c>
      <c r="X1071" s="2"/>
    </row>
    <row r="1072" spans="2:24" ht="17.7" hidden="1" customHeight="1">
      <c r="B1072" s="12" t="s">
        <v>26</v>
      </c>
      <c r="C1072" s="12" t="s">
        <v>181</v>
      </c>
      <c r="D1072" s="12" t="s">
        <v>1237</v>
      </c>
      <c r="E1072" s="2" t="s">
        <v>38</v>
      </c>
      <c r="F1072" s="12" t="s">
        <v>217</v>
      </c>
      <c r="G1072" s="12" t="s">
        <v>240</v>
      </c>
      <c r="H1072" s="57" t="str">
        <f>Table1[[#This Row],[Tabela]]&amp;Table1[[#This Row],[Campo]]</f>
        <v>modesg_inp_emss_scibccli_kgl</v>
      </c>
      <c r="I1072" s="2" t="s">
        <v>612</v>
      </c>
      <c r="J1072" s="45">
        <f>VLOOKUP(Table1[[#This Row],[Status]],Auxiliar!$B$16:$C$24,2,0)</f>
        <v>1</v>
      </c>
      <c r="K1072" s="20" t="s">
        <v>1198</v>
      </c>
      <c r="L1072" s="2" t="s">
        <v>1193</v>
      </c>
      <c r="M1072" s="20" t="s">
        <v>1195</v>
      </c>
      <c r="N1072" s="47">
        <v>45490</v>
      </c>
      <c r="O1072" s="20">
        <f>INDEX(Auxiliar!$D$5:$F$13,MATCH(Table1[[#This Row],[Tipologia_Testes]],Auxiliar!$B$5:$B$13,0),MATCH(Table1[[#This Row],[Complexidade]],Auxiliar!$D$4:$F$4,0))</f>
        <v>0.5</v>
      </c>
      <c r="P1072" s="2"/>
      <c r="Q1072" s="2" t="s">
        <v>1240</v>
      </c>
      <c r="R1072" s="151">
        <v>45261</v>
      </c>
      <c r="S1072" s="151"/>
      <c r="T1072" s="151"/>
      <c r="U1072" s="151">
        <v>45603</v>
      </c>
      <c r="V1072" s="151"/>
      <c r="W1072" s="2">
        <f>VLOOKUP(Table1[[#This Row],[Status]],Auxiliar!$B$16:$D$24,3,0)*Table1[[#This Row],[Estimação (horas)]]</f>
        <v>0.5</v>
      </c>
      <c r="X1072" s="2"/>
    </row>
    <row r="1073" spans="2:24" ht="17.7" hidden="1" customHeight="1">
      <c r="B1073" s="12" t="s">
        <v>26</v>
      </c>
      <c r="C1073" s="12" t="s">
        <v>181</v>
      </c>
      <c r="D1073" s="12" t="s">
        <v>1237</v>
      </c>
      <c r="E1073" s="2" t="s">
        <v>38</v>
      </c>
      <c r="F1073" s="12" t="s">
        <v>217</v>
      </c>
      <c r="G1073" s="12" t="s">
        <v>284</v>
      </c>
      <c r="H1073" s="57" t="str">
        <f>Table1[[#This Row],[Tabela]]&amp;Table1[[#This Row],[Campo]]</f>
        <v>modesg_inp_emss_scibnome_grupo</v>
      </c>
      <c r="I1073" s="2" t="s">
        <v>612</v>
      </c>
      <c r="J1073" s="45">
        <f>VLOOKUP(Table1[[#This Row],[Status]],Auxiliar!$B$16:$C$24,2,0)</f>
        <v>1</v>
      </c>
      <c r="K1073" s="20" t="s">
        <v>1198</v>
      </c>
      <c r="L1073" s="2" t="s">
        <v>1193</v>
      </c>
      <c r="M1073" s="20" t="s">
        <v>1195</v>
      </c>
      <c r="N1073" s="47">
        <v>45490</v>
      </c>
      <c r="O1073" s="20">
        <f>INDEX(Auxiliar!$D$5:$F$13,MATCH(Table1[[#This Row],[Tipologia_Testes]],Auxiliar!$B$5:$B$13,0),MATCH(Table1[[#This Row],[Complexidade]],Auxiliar!$D$4:$F$4,0))</f>
        <v>0.5</v>
      </c>
      <c r="P1073" s="2"/>
      <c r="Q1073" s="2" t="s">
        <v>1240</v>
      </c>
      <c r="R1073" s="151">
        <v>45261</v>
      </c>
      <c r="S1073" s="151"/>
      <c r="T1073" s="151"/>
      <c r="U1073" s="151">
        <v>45603</v>
      </c>
      <c r="V1073" s="151"/>
      <c r="W1073" s="2">
        <f>VLOOKUP(Table1[[#This Row],[Status]],Auxiliar!$B$16:$D$24,3,0)*Table1[[#This Row],[Estimação (horas)]]</f>
        <v>0.5</v>
      </c>
      <c r="X1073" s="2"/>
    </row>
    <row r="1074" spans="2:24" ht="17.7" hidden="1" customHeight="1">
      <c r="B1074" s="12" t="s">
        <v>26</v>
      </c>
      <c r="C1074" s="12" t="s">
        <v>181</v>
      </c>
      <c r="D1074" s="12" t="s">
        <v>1237</v>
      </c>
      <c r="E1074" s="2" t="s">
        <v>38</v>
      </c>
      <c r="F1074" s="12" t="s">
        <v>217</v>
      </c>
      <c r="G1074" s="12" t="s">
        <v>238</v>
      </c>
      <c r="H1074" s="57" t="str">
        <f>Table1[[#This Row],[Tabela]]&amp;Table1[[#This Row],[Campo]]</f>
        <v>modesg_inp_emss_scibisin</v>
      </c>
      <c r="I1074" s="2" t="s">
        <v>612</v>
      </c>
      <c r="J1074" s="45">
        <f>VLOOKUP(Table1[[#This Row],[Status]],Auxiliar!$B$16:$C$24,2,0)</f>
        <v>1</v>
      </c>
      <c r="K1074" s="20" t="s">
        <v>1190</v>
      </c>
      <c r="L1074" s="2" t="s">
        <v>1193</v>
      </c>
      <c r="M1074" s="20" t="s">
        <v>1195</v>
      </c>
      <c r="N1074" s="47">
        <v>45490</v>
      </c>
      <c r="O1074" s="20">
        <f>INDEX(Auxiliar!$D$5:$F$13,MATCH(Table1[[#This Row],[Tipologia_Testes]],Auxiliar!$B$5:$B$13,0),MATCH(Table1[[#This Row],[Complexidade]],Auxiliar!$D$4:$F$4,0))</f>
        <v>0.1</v>
      </c>
      <c r="P1074" s="2" t="s">
        <v>1257</v>
      </c>
      <c r="Q1074" s="2" t="s">
        <v>1240</v>
      </c>
      <c r="R1074" s="151">
        <v>45261</v>
      </c>
      <c r="S1074" s="151"/>
      <c r="T1074" s="151"/>
      <c r="U1074" s="151">
        <v>45603</v>
      </c>
      <c r="V1074" s="151"/>
      <c r="W1074" s="2">
        <f>VLOOKUP(Table1[[#This Row],[Status]],Auxiliar!$B$16:$D$24,3,0)*Table1[[#This Row],[Estimação (horas)]]</f>
        <v>0.1</v>
      </c>
      <c r="X1074" s="2"/>
    </row>
    <row r="1075" spans="2:24" ht="17.7" hidden="1" customHeight="1">
      <c r="B1075" s="12" t="s">
        <v>26</v>
      </c>
      <c r="C1075" s="12" t="s">
        <v>181</v>
      </c>
      <c r="D1075" s="12" t="s">
        <v>1237</v>
      </c>
      <c r="E1075" s="2" t="s">
        <v>38</v>
      </c>
      <c r="F1075" s="12" t="s">
        <v>217</v>
      </c>
      <c r="G1075" s="12" t="s">
        <v>238</v>
      </c>
      <c r="H1075" s="57" t="str">
        <f>Table1[[#This Row],[Tabela]]&amp;Table1[[#This Row],[Campo]]</f>
        <v>modesg_inp_emss_scibisin</v>
      </c>
      <c r="I1075" s="2" t="s">
        <v>612</v>
      </c>
      <c r="J1075" s="45">
        <f>VLOOKUP(Table1[[#This Row],[Status]],Auxiliar!$B$16:$C$24,2,0)</f>
        <v>1</v>
      </c>
      <c r="K1075" s="20" t="s">
        <v>1198</v>
      </c>
      <c r="L1075" s="2" t="s">
        <v>1193</v>
      </c>
      <c r="M1075" s="20" t="s">
        <v>1195</v>
      </c>
      <c r="N1075" s="47">
        <v>45490</v>
      </c>
      <c r="O1075" s="20">
        <f>INDEX(Auxiliar!$D$5:$F$13,MATCH(Table1[[#This Row],[Tipologia_Testes]],Auxiliar!$B$5:$B$13,0),MATCH(Table1[[#This Row],[Complexidade]],Auxiliar!$D$4:$F$4,0))</f>
        <v>0.5</v>
      </c>
      <c r="P1075" s="2"/>
      <c r="Q1075" s="2" t="s">
        <v>1240</v>
      </c>
      <c r="R1075" s="151">
        <v>45261</v>
      </c>
      <c r="S1075" s="151"/>
      <c r="T1075" s="151"/>
      <c r="U1075" s="151">
        <v>45603</v>
      </c>
      <c r="V1075" s="151"/>
      <c r="W1075" s="2">
        <f>VLOOKUP(Table1[[#This Row],[Status]],Auxiliar!$B$16:$D$24,3,0)*Table1[[#This Row],[Estimação (horas)]]</f>
        <v>0.5</v>
      </c>
      <c r="X1075" s="2"/>
    </row>
    <row r="1076" spans="2:24" ht="17.7" hidden="1" customHeight="1">
      <c r="B1076" s="12" t="s">
        <v>26</v>
      </c>
      <c r="C1076" s="12" t="s">
        <v>181</v>
      </c>
      <c r="D1076" s="12" t="s">
        <v>1237</v>
      </c>
      <c r="E1076" s="2" t="s">
        <v>38</v>
      </c>
      <c r="F1076" s="12" t="s">
        <v>217</v>
      </c>
      <c r="G1076" s="12" t="s">
        <v>239</v>
      </c>
      <c r="H1076" s="57" t="str">
        <f>Table1[[#This Row],[Tabela]]&amp;Table1[[#This Row],[Campo]]</f>
        <v>modesg_inp_emss_scibclei</v>
      </c>
      <c r="I1076" s="2" t="s">
        <v>612</v>
      </c>
      <c r="J1076" s="45">
        <f>VLOOKUP(Table1[[#This Row],[Status]],Auxiliar!$B$16:$C$24,2,0)</f>
        <v>1</v>
      </c>
      <c r="K1076" s="20" t="s">
        <v>1190</v>
      </c>
      <c r="L1076" s="2" t="s">
        <v>1193</v>
      </c>
      <c r="M1076" s="20" t="s">
        <v>1195</v>
      </c>
      <c r="N1076" s="47">
        <v>45490</v>
      </c>
      <c r="O1076" s="20">
        <f>INDEX(Auxiliar!$D$5:$F$13,MATCH(Table1[[#This Row],[Tipologia_Testes]],Auxiliar!$B$5:$B$13,0),MATCH(Table1[[#This Row],[Complexidade]],Auxiliar!$D$4:$F$4,0))</f>
        <v>0.1</v>
      </c>
      <c r="P1076" s="2" t="s">
        <v>1257</v>
      </c>
      <c r="Q1076" s="2" t="s">
        <v>1240</v>
      </c>
      <c r="R1076" s="151">
        <v>45261</v>
      </c>
      <c r="S1076" s="151"/>
      <c r="T1076" s="151"/>
      <c r="U1076" s="151">
        <v>45603</v>
      </c>
      <c r="V1076" s="151"/>
      <c r="W1076" s="2">
        <f>VLOOKUP(Table1[[#This Row],[Status]],Auxiliar!$B$16:$D$24,3,0)*Table1[[#This Row],[Estimação (horas)]]</f>
        <v>0.1</v>
      </c>
      <c r="X1076" s="2"/>
    </row>
    <row r="1077" spans="2:24" ht="17.7" hidden="1" customHeight="1">
      <c r="B1077" s="12" t="s">
        <v>26</v>
      </c>
      <c r="C1077" s="12" t="s">
        <v>181</v>
      </c>
      <c r="D1077" s="12" t="s">
        <v>1237</v>
      </c>
      <c r="E1077" s="2" t="s">
        <v>38</v>
      </c>
      <c r="F1077" s="12" t="s">
        <v>217</v>
      </c>
      <c r="G1077" s="12" t="s">
        <v>239</v>
      </c>
      <c r="H1077" s="57" t="str">
        <f>Table1[[#This Row],[Tabela]]&amp;Table1[[#This Row],[Campo]]</f>
        <v>modesg_inp_emss_scibclei</v>
      </c>
      <c r="I1077" s="2" t="s">
        <v>612</v>
      </c>
      <c r="J1077" s="45">
        <f>VLOOKUP(Table1[[#This Row],[Status]],Auxiliar!$B$16:$C$24,2,0)</f>
        <v>1</v>
      </c>
      <c r="K1077" s="20" t="s">
        <v>1198</v>
      </c>
      <c r="L1077" s="2" t="s">
        <v>1193</v>
      </c>
      <c r="M1077" s="20" t="s">
        <v>1195</v>
      </c>
      <c r="N1077" s="47">
        <v>45490</v>
      </c>
      <c r="O1077" s="20">
        <f>INDEX(Auxiliar!$D$5:$F$13,MATCH(Table1[[#This Row],[Tipologia_Testes]],Auxiliar!$B$5:$B$13,0),MATCH(Table1[[#This Row],[Complexidade]],Auxiliar!$D$4:$F$4,0))</f>
        <v>0.5</v>
      </c>
      <c r="P1077" s="2"/>
      <c r="Q1077" s="2" t="s">
        <v>1240</v>
      </c>
      <c r="R1077" s="151">
        <v>45261</v>
      </c>
      <c r="S1077" s="151"/>
      <c r="T1077" s="151"/>
      <c r="U1077" s="151">
        <v>45603</v>
      </c>
      <c r="V1077" s="151"/>
      <c r="W1077" s="2">
        <f>VLOOKUP(Table1[[#This Row],[Status]],Auxiliar!$B$16:$D$24,3,0)*Table1[[#This Row],[Estimação (horas)]]</f>
        <v>0.5</v>
      </c>
      <c r="X1077" s="2"/>
    </row>
    <row r="1078" spans="2:24" ht="17.7" hidden="1" customHeight="1">
      <c r="B1078" s="12" t="s">
        <v>26</v>
      </c>
      <c r="C1078" s="12" t="s">
        <v>181</v>
      </c>
      <c r="D1078" s="12" t="s">
        <v>1237</v>
      </c>
      <c r="E1078" s="2" t="s">
        <v>38</v>
      </c>
      <c r="F1078" s="12" t="s">
        <v>217</v>
      </c>
      <c r="G1078" s="12" t="s">
        <v>285</v>
      </c>
      <c r="H1078" s="57" t="str">
        <f>Table1[[#This Row],[Tabela]]&amp;Table1[[#This Row],[Campo]]</f>
        <v>modesg_inp_emss_scibscp1_emss</v>
      </c>
      <c r="I1078" s="2" t="s">
        <v>612</v>
      </c>
      <c r="J1078" s="45">
        <f>VLOOKUP(Table1[[#This Row],[Status]],Auxiliar!$B$16:$C$24,2,0)</f>
        <v>1</v>
      </c>
      <c r="K1078" s="20" t="s">
        <v>1190</v>
      </c>
      <c r="L1078" s="2" t="s">
        <v>1193</v>
      </c>
      <c r="M1078" s="20" t="s">
        <v>1195</v>
      </c>
      <c r="N1078" s="47">
        <v>45499</v>
      </c>
      <c r="O1078" s="20">
        <f>INDEX(Auxiliar!$D$5:$F$13,MATCH(Table1[[#This Row],[Tipologia_Testes]],Auxiliar!$B$5:$B$13,0),MATCH(Table1[[#This Row],[Complexidade]],Auxiliar!$D$4:$F$4,0))</f>
        <v>0.1</v>
      </c>
      <c r="P1078" s="2" t="s">
        <v>1264</v>
      </c>
      <c r="Q1078" s="2" t="s">
        <v>1240</v>
      </c>
      <c r="R1078" s="151">
        <v>45136</v>
      </c>
      <c r="S1078" s="151">
        <v>45439</v>
      </c>
      <c r="T1078" s="151">
        <v>45491</v>
      </c>
      <c r="U1078" s="151">
        <v>45603</v>
      </c>
      <c r="V1078" s="151">
        <v>45499</v>
      </c>
      <c r="W1078" s="2">
        <f>VLOOKUP(Table1[[#This Row],[Status]],Auxiliar!$B$16:$D$24,3,0)*Table1[[#This Row],[Estimação (horas)]]</f>
        <v>0.1</v>
      </c>
      <c r="X1078" s="2"/>
    </row>
    <row r="1079" spans="2:24" ht="17.7" hidden="1" customHeight="1">
      <c r="B1079" s="12" t="s">
        <v>26</v>
      </c>
      <c r="C1079" s="12" t="s">
        <v>181</v>
      </c>
      <c r="D1079" s="12" t="s">
        <v>1237</v>
      </c>
      <c r="E1079" s="2" t="s">
        <v>38</v>
      </c>
      <c r="F1079" s="12" t="s">
        <v>217</v>
      </c>
      <c r="G1079" s="12" t="s">
        <v>285</v>
      </c>
      <c r="H1079" s="57" t="str">
        <f>Table1[[#This Row],[Tabela]]&amp;Table1[[#This Row],[Campo]]</f>
        <v>modesg_inp_emss_scibscp1_emss</v>
      </c>
      <c r="I1079" s="2" t="s">
        <v>612</v>
      </c>
      <c r="J1079" s="45">
        <f>VLOOKUP(Table1[[#This Row],[Status]],Auxiliar!$B$16:$C$24,2,0)</f>
        <v>1</v>
      </c>
      <c r="K1079" s="20" t="s">
        <v>1198</v>
      </c>
      <c r="L1079" s="2" t="s">
        <v>1193</v>
      </c>
      <c r="M1079" s="20" t="s">
        <v>1195</v>
      </c>
      <c r="N1079" s="47">
        <v>45490</v>
      </c>
      <c r="O1079" s="20">
        <f>INDEX(Auxiliar!$D$5:$F$13,MATCH(Table1[[#This Row],[Tipologia_Testes]],Auxiliar!$B$5:$B$13,0),MATCH(Table1[[#This Row],[Complexidade]],Auxiliar!$D$4:$F$4,0))</f>
        <v>0.5</v>
      </c>
      <c r="P1079" s="2"/>
      <c r="Q1079" s="2" t="s">
        <v>1240</v>
      </c>
      <c r="R1079" s="151">
        <v>45261</v>
      </c>
      <c r="S1079" s="151"/>
      <c r="T1079" s="151"/>
      <c r="U1079" s="151">
        <v>45603</v>
      </c>
      <c r="V1079" s="151"/>
      <c r="W1079" s="2">
        <f>VLOOKUP(Table1[[#This Row],[Status]],Auxiliar!$B$16:$D$24,3,0)*Table1[[#This Row],[Estimação (horas)]]</f>
        <v>0.5</v>
      </c>
      <c r="X1079" s="2"/>
    </row>
    <row r="1080" spans="2:24" ht="17.7" hidden="1" customHeight="1">
      <c r="B1080" s="12" t="s">
        <v>26</v>
      </c>
      <c r="C1080" s="12" t="s">
        <v>181</v>
      </c>
      <c r="D1080" s="12" t="s">
        <v>1237</v>
      </c>
      <c r="E1080" s="2" t="s">
        <v>38</v>
      </c>
      <c r="F1080" s="12" t="s">
        <v>217</v>
      </c>
      <c r="G1080" s="12" t="s">
        <v>286</v>
      </c>
      <c r="H1080" s="57" t="str">
        <f>Table1[[#This Row],[Tabela]]&amp;Table1[[#This Row],[Campo]]</f>
        <v>modesg_inp_emss_scibscp2_emss</v>
      </c>
      <c r="I1080" s="2" t="s">
        <v>612</v>
      </c>
      <c r="J1080" s="45">
        <f>VLOOKUP(Table1[[#This Row],[Status]],Auxiliar!$B$16:$C$24,2,0)</f>
        <v>1</v>
      </c>
      <c r="K1080" s="20" t="s">
        <v>1190</v>
      </c>
      <c r="L1080" s="2" t="s">
        <v>1193</v>
      </c>
      <c r="M1080" s="20" t="s">
        <v>1195</v>
      </c>
      <c r="N1080" s="47">
        <v>45499</v>
      </c>
      <c r="O1080" s="20">
        <f>INDEX(Auxiliar!$D$5:$F$13,MATCH(Table1[[#This Row],[Tipologia_Testes]],Auxiliar!$B$5:$B$13,0),MATCH(Table1[[#This Row],[Complexidade]],Auxiliar!$D$4:$F$4,0))</f>
        <v>0.1</v>
      </c>
      <c r="P1080" s="2" t="s">
        <v>1264</v>
      </c>
      <c r="Q1080" s="2" t="s">
        <v>1240</v>
      </c>
      <c r="R1080" s="151">
        <v>45136</v>
      </c>
      <c r="S1080" s="151">
        <v>45439</v>
      </c>
      <c r="T1080" s="151">
        <v>45491</v>
      </c>
      <c r="U1080" s="151">
        <v>45603</v>
      </c>
      <c r="V1080" s="151">
        <v>45499</v>
      </c>
      <c r="W1080" s="2">
        <f>VLOOKUP(Table1[[#This Row],[Status]],Auxiliar!$B$16:$D$24,3,0)*Table1[[#This Row],[Estimação (horas)]]</f>
        <v>0.1</v>
      </c>
      <c r="X1080" s="2"/>
    </row>
    <row r="1081" spans="2:24" ht="17.7" hidden="1" customHeight="1">
      <c r="B1081" s="12" t="s">
        <v>26</v>
      </c>
      <c r="C1081" s="12" t="s">
        <v>181</v>
      </c>
      <c r="D1081" s="12" t="s">
        <v>1237</v>
      </c>
      <c r="E1081" s="2" t="s">
        <v>38</v>
      </c>
      <c r="F1081" s="12" t="s">
        <v>217</v>
      </c>
      <c r="G1081" s="12" t="s">
        <v>286</v>
      </c>
      <c r="H1081" s="57" t="str">
        <f>Table1[[#This Row],[Tabela]]&amp;Table1[[#This Row],[Campo]]</f>
        <v>modesg_inp_emss_scibscp2_emss</v>
      </c>
      <c r="I1081" s="2" t="s">
        <v>612</v>
      </c>
      <c r="J1081" s="45">
        <f>VLOOKUP(Table1[[#This Row],[Status]],Auxiliar!$B$16:$C$24,2,0)</f>
        <v>1</v>
      </c>
      <c r="K1081" s="20" t="s">
        <v>1198</v>
      </c>
      <c r="L1081" s="2" t="s">
        <v>1193</v>
      </c>
      <c r="M1081" s="20" t="s">
        <v>1195</v>
      </c>
      <c r="N1081" s="47">
        <v>45490</v>
      </c>
      <c r="O1081" s="20">
        <f>INDEX(Auxiliar!$D$5:$F$13,MATCH(Table1[[#This Row],[Tipologia_Testes]],Auxiliar!$B$5:$B$13,0),MATCH(Table1[[#This Row],[Complexidade]],Auxiliar!$D$4:$F$4,0))</f>
        <v>0.5</v>
      </c>
      <c r="P1081" s="2"/>
      <c r="Q1081" s="2" t="s">
        <v>1240</v>
      </c>
      <c r="R1081" s="151">
        <v>45261</v>
      </c>
      <c r="S1081" s="151"/>
      <c r="T1081" s="151"/>
      <c r="U1081" s="151">
        <v>45603</v>
      </c>
      <c r="V1081" s="151"/>
      <c r="W1081" s="2">
        <f>VLOOKUP(Table1[[#This Row],[Status]],Auxiliar!$B$16:$D$24,3,0)*Table1[[#This Row],[Estimação (horas)]]</f>
        <v>0.5</v>
      </c>
      <c r="X1081" s="2"/>
    </row>
    <row r="1082" spans="2:24" ht="17.7" hidden="1" customHeight="1">
      <c r="B1082" s="12" t="s">
        <v>26</v>
      </c>
      <c r="C1082" s="12" t="s">
        <v>181</v>
      </c>
      <c r="D1082" s="12" t="s">
        <v>1237</v>
      </c>
      <c r="E1082" s="2" t="s">
        <v>38</v>
      </c>
      <c r="F1082" s="12" t="s">
        <v>217</v>
      </c>
      <c r="G1082" s="12" t="s">
        <v>287</v>
      </c>
      <c r="H1082" s="57" t="str">
        <f>Table1[[#This Row],[Tabela]]&amp;Table1[[#This Row],[Campo]]</f>
        <v>modesg_inp_emss_scibscp3_emss</v>
      </c>
      <c r="I1082" s="2" t="s">
        <v>612</v>
      </c>
      <c r="J1082" s="45">
        <f>VLOOKUP(Table1[[#This Row],[Status]],Auxiliar!$B$16:$C$24,2,0)</f>
        <v>1</v>
      </c>
      <c r="K1082" s="20" t="s">
        <v>1190</v>
      </c>
      <c r="L1082" s="2" t="s">
        <v>1193</v>
      </c>
      <c r="M1082" s="20" t="s">
        <v>1195</v>
      </c>
      <c r="N1082" s="47">
        <v>45490</v>
      </c>
      <c r="O1082" s="20">
        <f>INDEX(Auxiliar!$D$5:$F$13,MATCH(Table1[[#This Row],[Tipologia_Testes]],Auxiliar!$B$5:$B$13,0),MATCH(Table1[[#This Row],[Complexidade]],Auxiliar!$D$4:$F$4,0))</f>
        <v>0.1</v>
      </c>
      <c r="P1082" s="2" t="s">
        <v>1264</v>
      </c>
      <c r="Q1082" s="2" t="s">
        <v>1240</v>
      </c>
      <c r="R1082" s="151">
        <v>45261</v>
      </c>
      <c r="S1082" s="151"/>
      <c r="T1082" s="151"/>
      <c r="U1082" s="151">
        <v>45603</v>
      </c>
      <c r="V1082" s="151"/>
      <c r="W1082" s="2">
        <f>VLOOKUP(Table1[[#This Row],[Status]],Auxiliar!$B$16:$D$24,3,0)*Table1[[#This Row],[Estimação (horas)]]</f>
        <v>0.1</v>
      </c>
      <c r="X1082" s="2"/>
    </row>
    <row r="1083" spans="2:24" ht="17.7" hidden="1" customHeight="1">
      <c r="B1083" s="12" t="s">
        <v>26</v>
      </c>
      <c r="C1083" s="12" t="s">
        <v>181</v>
      </c>
      <c r="D1083" s="12" t="s">
        <v>1237</v>
      </c>
      <c r="E1083" s="2" t="s">
        <v>38</v>
      </c>
      <c r="F1083" s="12" t="s">
        <v>217</v>
      </c>
      <c r="G1083" s="12" t="s">
        <v>287</v>
      </c>
      <c r="H1083" s="57" t="str">
        <f>Table1[[#This Row],[Tabela]]&amp;Table1[[#This Row],[Campo]]</f>
        <v>modesg_inp_emss_scibscp3_emss</v>
      </c>
      <c r="I1083" s="2" t="s">
        <v>612</v>
      </c>
      <c r="J1083" s="45">
        <f>VLOOKUP(Table1[[#This Row],[Status]],Auxiliar!$B$16:$C$24,2,0)</f>
        <v>1</v>
      </c>
      <c r="K1083" s="20" t="s">
        <v>1198</v>
      </c>
      <c r="L1083" s="2" t="s">
        <v>1193</v>
      </c>
      <c r="M1083" s="20" t="s">
        <v>1195</v>
      </c>
      <c r="N1083" s="47">
        <v>45490</v>
      </c>
      <c r="O1083" s="20">
        <f>INDEX(Auxiliar!$D$5:$F$13,MATCH(Table1[[#This Row],[Tipologia_Testes]],Auxiliar!$B$5:$B$13,0),MATCH(Table1[[#This Row],[Complexidade]],Auxiliar!$D$4:$F$4,0))</f>
        <v>0.5</v>
      </c>
      <c r="P1083" s="2"/>
      <c r="Q1083" s="2" t="s">
        <v>1240</v>
      </c>
      <c r="R1083" s="151">
        <v>45261</v>
      </c>
      <c r="S1083" s="151"/>
      <c r="T1083" s="151"/>
      <c r="U1083" s="151">
        <v>45603</v>
      </c>
      <c r="V1083" s="151"/>
      <c r="W1083" s="2">
        <f>VLOOKUP(Table1[[#This Row],[Status]],Auxiliar!$B$16:$D$24,3,0)*Table1[[#This Row],[Estimação (horas)]]</f>
        <v>0.5</v>
      </c>
      <c r="X1083" s="2"/>
    </row>
    <row r="1084" spans="2:24" ht="17.7" hidden="1" customHeight="1">
      <c r="B1084" s="12" t="s">
        <v>26</v>
      </c>
      <c r="C1084" s="12" t="s">
        <v>181</v>
      </c>
      <c r="D1084" s="12" t="s">
        <v>1237</v>
      </c>
      <c r="E1084" s="2" t="s">
        <v>38</v>
      </c>
      <c r="F1084" s="12" t="s">
        <v>217</v>
      </c>
      <c r="G1084" s="12" t="s">
        <v>288</v>
      </c>
      <c r="H1084" s="57" t="str">
        <f>Table1[[#This Row],[Tabela]]&amp;Table1[[#This Row],[Campo]]</f>
        <v>modesg_inp_emss_scibscore_scp1</v>
      </c>
      <c r="I1084" s="2" t="s">
        <v>612</v>
      </c>
      <c r="J1084" s="45">
        <f>VLOOKUP(Table1[[#This Row],[Status]],Auxiliar!$B$16:$C$24,2,0)</f>
        <v>1</v>
      </c>
      <c r="K1084" s="20" t="s">
        <v>1198</v>
      </c>
      <c r="L1084" s="2" t="s">
        <v>1193</v>
      </c>
      <c r="M1084" s="20" t="s">
        <v>1195</v>
      </c>
      <c r="N1084" s="47">
        <v>45490</v>
      </c>
      <c r="O1084" s="20">
        <f>INDEX(Auxiliar!$D$5:$F$13,MATCH(Table1[[#This Row],[Tipologia_Testes]],Auxiliar!$B$5:$B$13,0),MATCH(Table1[[#This Row],[Complexidade]],Auxiliar!$D$4:$F$4,0))</f>
        <v>0.5</v>
      </c>
      <c r="P1084" s="2"/>
      <c r="Q1084" s="2" t="s">
        <v>1240</v>
      </c>
      <c r="R1084" s="151">
        <v>45261</v>
      </c>
      <c r="S1084" s="151"/>
      <c r="T1084" s="151"/>
      <c r="U1084" s="151">
        <v>45603</v>
      </c>
      <c r="V1084" s="151"/>
      <c r="W1084" s="2">
        <f>VLOOKUP(Table1[[#This Row],[Status]],Auxiliar!$B$16:$D$24,3,0)*Table1[[#This Row],[Estimação (horas)]]</f>
        <v>0.5</v>
      </c>
      <c r="X1084" s="2"/>
    </row>
    <row r="1085" spans="2:24" ht="17.7" hidden="1" customHeight="1">
      <c r="B1085" s="12" t="s">
        <v>26</v>
      </c>
      <c r="C1085" s="12" t="s">
        <v>181</v>
      </c>
      <c r="D1085" s="12" t="s">
        <v>1237</v>
      </c>
      <c r="E1085" s="2" t="s">
        <v>38</v>
      </c>
      <c r="F1085" s="12" t="s">
        <v>217</v>
      </c>
      <c r="G1085" s="12" t="s">
        <v>289</v>
      </c>
      <c r="H1085" s="57" t="str">
        <f>Table1[[#This Row],[Tabela]]&amp;Table1[[#This Row],[Campo]]</f>
        <v>modesg_inp_emss_scibscore_scp2</v>
      </c>
      <c r="I1085" s="2" t="s">
        <v>612</v>
      </c>
      <c r="J1085" s="45">
        <f>VLOOKUP(Table1[[#This Row],[Status]],Auxiliar!$B$16:$C$24,2,0)</f>
        <v>1</v>
      </c>
      <c r="K1085" s="20" t="s">
        <v>1198</v>
      </c>
      <c r="L1085" s="2" t="s">
        <v>1193</v>
      </c>
      <c r="M1085" s="20" t="s">
        <v>1195</v>
      </c>
      <c r="N1085" s="47">
        <v>45490</v>
      </c>
      <c r="O1085" s="20">
        <f>INDEX(Auxiliar!$D$5:$F$13,MATCH(Table1[[#This Row],[Tipologia_Testes]],Auxiliar!$B$5:$B$13,0),MATCH(Table1[[#This Row],[Complexidade]],Auxiliar!$D$4:$F$4,0))</f>
        <v>0.5</v>
      </c>
      <c r="P1085" s="2"/>
      <c r="Q1085" s="2" t="s">
        <v>1240</v>
      </c>
      <c r="R1085" s="151">
        <v>45261</v>
      </c>
      <c r="S1085" s="151"/>
      <c r="T1085" s="151"/>
      <c r="U1085" s="151">
        <v>45603</v>
      </c>
      <c r="V1085" s="151"/>
      <c r="W1085" s="2">
        <f>VLOOKUP(Table1[[#This Row],[Status]],Auxiliar!$B$16:$D$24,3,0)*Table1[[#This Row],[Estimação (horas)]]</f>
        <v>0.5</v>
      </c>
      <c r="X1085" s="2"/>
    </row>
    <row r="1086" spans="2:24" ht="17.7" hidden="1" customHeight="1">
      <c r="B1086" s="12" t="s">
        <v>26</v>
      </c>
      <c r="C1086" s="12" t="s">
        <v>181</v>
      </c>
      <c r="D1086" s="12" t="s">
        <v>1237</v>
      </c>
      <c r="E1086" s="2" t="s">
        <v>38</v>
      </c>
      <c r="F1086" s="12" t="s">
        <v>217</v>
      </c>
      <c r="G1086" s="12" t="s">
        <v>290</v>
      </c>
      <c r="H1086" s="57" t="str">
        <f>Table1[[#This Row],[Tabela]]&amp;Table1[[#This Row],[Campo]]</f>
        <v>modesg_inp_emss_scibscore_scp3</v>
      </c>
      <c r="I1086" s="2" t="s">
        <v>612</v>
      </c>
      <c r="J1086" s="45">
        <f>VLOOKUP(Table1[[#This Row],[Status]],Auxiliar!$B$16:$C$24,2,0)</f>
        <v>1</v>
      </c>
      <c r="K1086" s="20" t="s">
        <v>1198</v>
      </c>
      <c r="L1086" s="2" t="s">
        <v>1193</v>
      </c>
      <c r="M1086" s="20" t="s">
        <v>1195</v>
      </c>
      <c r="N1086" s="47">
        <v>45490</v>
      </c>
      <c r="O1086" s="20">
        <f>INDEX(Auxiliar!$D$5:$F$13,MATCH(Table1[[#This Row],[Tipologia_Testes]],Auxiliar!$B$5:$B$13,0),MATCH(Table1[[#This Row],[Complexidade]],Auxiliar!$D$4:$F$4,0))</f>
        <v>0.5</v>
      </c>
      <c r="P1086" s="2"/>
      <c r="Q1086" s="2" t="s">
        <v>1240</v>
      </c>
      <c r="R1086" s="151">
        <v>45261</v>
      </c>
      <c r="S1086" s="151"/>
      <c r="T1086" s="151"/>
      <c r="U1086" s="151">
        <v>45603</v>
      </c>
      <c r="V1086" s="151"/>
      <c r="W1086" s="2">
        <f>VLOOKUP(Table1[[#This Row],[Status]],Auxiliar!$B$16:$D$24,3,0)*Table1[[#This Row],[Estimação (horas)]]</f>
        <v>0.5</v>
      </c>
      <c r="X1086" s="2"/>
    </row>
    <row r="1087" spans="2:24" ht="17.7" hidden="1" customHeight="1">
      <c r="B1087" s="12" t="s">
        <v>26</v>
      </c>
      <c r="C1087" s="12" t="s">
        <v>181</v>
      </c>
      <c r="D1087" s="12" t="s">
        <v>1237</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1198</v>
      </c>
      <c r="L1087" s="2" t="s">
        <v>1193</v>
      </c>
      <c r="M1087" s="20" t="s">
        <v>1195</v>
      </c>
      <c r="N1087" s="47">
        <v>45490</v>
      </c>
      <c r="O1087" s="20">
        <f>INDEX(Auxiliar!$D$5:$F$13,MATCH(Table1[[#This Row],[Tipologia_Testes]],Auxiliar!$B$5:$B$13,0),MATCH(Table1[[#This Row],[Complexidade]],Auxiliar!$D$4:$F$4,0))</f>
        <v>0.5</v>
      </c>
      <c r="P1087" s="2"/>
      <c r="Q1087" s="2" t="s">
        <v>1240</v>
      </c>
      <c r="R1087" s="151">
        <v>45261</v>
      </c>
      <c r="S1087" s="151"/>
      <c r="T1087" s="151"/>
      <c r="U1087" s="151">
        <v>45603</v>
      </c>
      <c r="V1087" s="151"/>
      <c r="W1087" s="2">
        <f>VLOOKUP(Table1[[#This Row],[Status]],Auxiliar!$B$16:$D$24,3,0)*Table1[[#This Row],[Estimação (horas)]]</f>
        <v>0.5</v>
      </c>
      <c r="X1087" s="2"/>
    </row>
    <row r="1088" spans="2:24" ht="17.7" hidden="1" customHeight="1">
      <c r="B1088" s="12" t="s">
        <v>26</v>
      </c>
      <c r="C1088" s="12" t="s">
        <v>181</v>
      </c>
      <c r="D1088" s="12" t="s">
        <v>1237</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1198</v>
      </c>
      <c r="L1088" s="2" t="s">
        <v>1193</v>
      </c>
      <c r="M1088" s="20" t="s">
        <v>1195</v>
      </c>
      <c r="N1088" s="47">
        <v>45490</v>
      </c>
      <c r="O1088" s="20">
        <f>INDEX(Auxiliar!$D$5:$F$13,MATCH(Table1[[#This Row],[Tipologia_Testes]],Auxiliar!$B$5:$B$13,0),MATCH(Table1[[#This Row],[Complexidade]],Auxiliar!$D$4:$F$4,0))</f>
        <v>0.5</v>
      </c>
      <c r="P1088" s="2"/>
      <c r="Q1088" s="2" t="s">
        <v>1240</v>
      </c>
      <c r="R1088" s="151">
        <v>45261</v>
      </c>
      <c r="S1088" s="151"/>
      <c r="T1088" s="151"/>
      <c r="U1088" s="151">
        <v>45603</v>
      </c>
      <c r="V1088" s="151"/>
      <c r="W1088" s="2">
        <f>VLOOKUP(Table1[[#This Row],[Status]],Auxiliar!$B$16:$D$24,3,0)*Table1[[#This Row],[Estimação (horas)]]</f>
        <v>0.5</v>
      </c>
      <c r="X1088" s="2"/>
    </row>
    <row r="1089" spans="2:24" ht="17.7" hidden="1" customHeight="1">
      <c r="B1089" s="12" t="s">
        <v>26</v>
      </c>
      <c r="C1089" s="12" t="s">
        <v>181</v>
      </c>
      <c r="D1089" s="12" t="s">
        <v>1237</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1198</v>
      </c>
      <c r="L1089" s="2" t="s">
        <v>1193</v>
      </c>
      <c r="M1089" s="20" t="s">
        <v>1195</v>
      </c>
      <c r="N1089" s="47">
        <v>45490</v>
      </c>
      <c r="O1089" s="20">
        <f>INDEX(Auxiliar!$D$5:$F$13,MATCH(Table1[[#This Row],[Tipologia_Testes]],Auxiliar!$B$5:$B$13,0),MATCH(Table1[[#This Row],[Complexidade]],Auxiliar!$D$4:$F$4,0))</f>
        <v>0.5</v>
      </c>
      <c r="P1089" s="2"/>
      <c r="Q1089" s="2" t="s">
        <v>1240</v>
      </c>
      <c r="R1089" s="151">
        <v>45261</v>
      </c>
      <c r="S1089" s="151"/>
      <c r="T1089" s="151"/>
      <c r="U1089" s="151">
        <v>45603</v>
      </c>
      <c r="V1089" s="151"/>
      <c r="W1089" s="2">
        <f>VLOOKUP(Table1[[#This Row],[Status]],Auxiliar!$B$16:$D$24,3,0)*Table1[[#This Row],[Estimação (horas)]]</f>
        <v>0.5</v>
      </c>
      <c r="X1089" s="2"/>
    </row>
    <row r="1090" spans="2:24" ht="17.7" hidden="1" customHeight="1">
      <c r="B1090" s="12" t="s">
        <v>26</v>
      </c>
      <c r="C1090" s="12" t="s">
        <v>181</v>
      </c>
      <c r="D1090" s="12" t="s">
        <v>1237</v>
      </c>
      <c r="E1090" s="2" t="s">
        <v>38</v>
      </c>
      <c r="F1090" s="12" t="s">
        <v>217</v>
      </c>
      <c r="G1090" s="12" t="s">
        <v>294</v>
      </c>
      <c r="H1090" s="57" t="str">
        <f>Table1[[#This Row],[Tabela]]&amp;Table1[[#This Row],[Campo]]</f>
        <v>modesg_inp_emss_scibano_info</v>
      </c>
      <c r="I1090" s="2" t="s">
        <v>612</v>
      </c>
      <c r="J1090" s="45">
        <f>VLOOKUP(Table1[[#This Row],[Status]],Auxiliar!$B$16:$C$24,2,0)</f>
        <v>1</v>
      </c>
      <c r="K1090" s="20" t="s">
        <v>1198</v>
      </c>
      <c r="L1090" s="2" t="s">
        <v>1185</v>
      </c>
      <c r="M1090" s="20" t="s">
        <v>1195</v>
      </c>
      <c r="N1090" s="47">
        <v>45490</v>
      </c>
      <c r="O1090" s="20">
        <f>INDEX(Auxiliar!$D$5:$F$13,MATCH(Table1[[#This Row],[Tipologia_Testes]],Auxiliar!$B$5:$B$13,0),MATCH(Table1[[#This Row],[Complexidade]],Auxiliar!$D$4:$F$4,0))</f>
        <v>0.5</v>
      </c>
      <c r="P1090" s="2" t="s">
        <v>1265</v>
      </c>
      <c r="Q1090" s="2" t="s">
        <v>1240</v>
      </c>
      <c r="R1090" s="151">
        <v>45261</v>
      </c>
      <c r="S1090" s="151"/>
      <c r="T1090" s="151"/>
      <c r="U1090" s="151">
        <v>45603</v>
      </c>
      <c r="V1090" s="151"/>
      <c r="W1090" s="2">
        <f>VLOOKUP(Table1[[#This Row],[Status]],Auxiliar!$B$16:$D$24,3,0)*Table1[[#This Row],[Estimação (horas)]]</f>
        <v>0.5</v>
      </c>
      <c r="X1090" s="2"/>
    </row>
    <row r="1091" spans="2:24" ht="17.7" hidden="1" customHeight="1">
      <c r="B1091" s="12" t="s">
        <v>26</v>
      </c>
      <c r="C1091" s="12" t="s">
        <v>181</v>
      </c>
      <c r="D1091" s="12" t="s">
        <v>1237</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1198</v>
      </c>
      <c r="L1091" s="2" t="s">
        <v>1193</v>
      </c>
      <c r="M1091" s="20" t="s">
        <v>1195</v>
      </c>
      <c r="N1091" s="47">
        <v>45490</v>
      </c>
      <c r="O1091" s="20">
        <f>INDEX(Auxiliar!$D$5:$F$13,MATCH(Table1[[#This Row],[Tipologia_Testes]],Auxiliar!$B$5:$B$13,0),MATCH(Table1[[#This Row],[Complexidade]],Auxiliar!$D$4:$F$4,0))</f>
        <v>0.5</v>
      </c>
      <c r="P1091" s="2"/>
      <c r="Q1091" s="2" t="s">
        <v>1240</v>
      </c>
      <c r="R1091" s="151">
        <v>45261</v>
      </c>
      <c r="S1091" s="151"/>
      <c r="T1091" s="151"/>
      <c r="U1091" s="151">
        <v>45603</v>
      </c>
      <c r="V1091" s="151"/>
      <c r="W1091" s="2">
        <f>VLOOKUP(Table1[[#This Row],[Status]],Auxiliar!$B$16:$D$24,3,0)*Table1[[#This Row],[Estimação (horas)]]</f>
        <v>0.5</v>
      </c>
      <c r="X1091" s="2"/>
    </row>
    <row r="1092" spans="2:24" ht="17.7" hidden="1" customHeight="1">
      <c r="B1092" s="12" t="s">
        <v>26</v>
      </c>
      <c r="C1092" s="12" t="s">
        <v>181</v>
      </c>
      <c r="D1092" s="12" t="s">
        <v>1237</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1198</v>
      </c>
      <c r="L1092" s="2" t="s">
        <v>1193</v>
      </c>
      <c r="M1092" s="20" t="s">
        <v>1195</v>
      </c>
      <c r="N1092" s="47">
        <v>45490</v>
      </c>
      <c r="O1092" s="20">
        <f>INDEX(Auxiliar!$D$5:$F$13,MATCH(Table1[[#This Row],[Tipologia_Testes]],Auxiliar!$B$5:$B$13,0),MATCH(Table1[[#This Row],[Complexidade]],Auxiliar!$D$4:$F$4,0))</f>
        <v>0.5</v>
      </c>
      <c r="P1092" s="2"/>
      <c r="Q1092" s="2" t="s">
        <v>1240</v>
      </c>
      <c r="R1092" s="151">
        <v>45261</v>
      </c>
      <c r="S1092" s="151"/>
      <c r="T1092" s="151"/>
      <c r="U1092" s="151">
        <v>45603</v>
      </c>
      <c r="V1092" s="151"/>
      <c r="W1092" s="2">
        <f>VLOOKUP(Table1[[#This Row],[Status]],Auxiliar!$B$16:$D$24,3,0)*Table1[[#This Row],[Estimação (horas)]]</f>
        <v>0.5</v>
      </c>
      <c r="X1092" s="2"/>
    </row>
    <row r="1093" spans="2:24" ht="17.7" hidden="1" customHeight="1">
      <c r="B1093" s="12" t="s">
        <v>26</v>
      </c>
      <c r="C1093" s="12" t="s">
        <v>181</v>
      </c>
      <c r="D1093" s="12" t="s">
        <v>1237</v>
      </c>
      <c r="E1093" s="2" t="s">
        <v>38</v>
      </c>
      <c r="F1093" s="12" t="s">
        <v>218</v>
      </c>
      <c r="G1093" s="12" t="s">
        <v>208</v>
      </c>
      <c r="H1093" s="57" t="str">
        <f>Table1[[#This Row],[Tabela]]&amp;Table1[[#This Row],[Campo]]</f>
        <v>modesg_inp_emss_naceref_date</v>
      </c>
      <c r="I1093" s="2" t="s">
        <v>612</v>
      </c>
      <c r="J1093" s="45">
        <f>VLOOKUP(Table1[[#This Row],[Status]],Auxiliar!$B$16:$C$24,2,0)</f>
        <v>1</v>
      </c>
      <c r="K1093" s="20" t="s">
        <v>1198</v>
      </c>
      <c r="L1093" s="2" t="s">
        <v>1193</v>
      </c>
      <c r="M1093" s="20" t="s">
        <v>1195</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7" hidden="1" customHeight="1">
      <c r="B1094" s="12" t="s">
        <v>26</v>
      </c>
      <c r="C1094" s="12" t="s">
        <v>181</v>
      </c>
      <c r="D1094" s="12" t="s">
        <v>1237</v>
      </c>
      <c r="E1094" s="2" t="s">
        <v>38</v>
      </c>
      <c r="F1094" s="12" t="s">
        <v>218</v>
      </c>
      <c r="G1094" s="12" t="s">
        <v>297</v>
      </c>
      <c r="H1094" s="57" t="str">
        <f>Table1[[#This Row],[Tabela]]&amp;Table1[[#This Row],[Campo]]</f>
        <v>modesg_inp_emss_naceano</v>
      </c>
      <c r="I1094" s="2" t="s">
        <v>612</v>
      </c>
      <c r="J1094" s="45">
        <f>VLOOKUP(Table1[[#This Row],[Status]],Auxiliar!$B$16:$C$24,2,0)</f>
        <v>1</v>
      </c>
      <c r="K1094" s="20" t="s">
        <v>1198</v>
      </c>
      <c r="L1094" s="2" t="s">
        <v>649</v>
      </c>
      <c r="M1094" s="20" t="s">
        <v>1195</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7" hidden="1" customHeight="1">
      <c r="B1095" s="12" t="s">
        <v>26</v>
      </c>
      <c r="C1095" s="12" t="s">
        <v>181</v>
      </c>
      <c r="D1095" s="12" t="s">
        <v>1237</v>
      </c>
      <c r="E1095" s="2" t="s">
        <v>38</v>
      </c>
      <c r="F1095" s="12" t="s">
        <v>218</v>
      </c>
      <c r="G1095" s="12" t="s">
        <v>221</v>
      </c>
      <c r="H1095" s="57" t="str">
        <f>Table1[[#This Row],[Tabela]]&amp;Table1[[#This Row],[Campo]]</f>
        <v>modesg_inp_emss_nacenome_pais</v>
      </c>
      <c r="I1095" s="2" t="s">
        <v>612</v>
      </c>
      <c r="J1095" s="45">
        <f>VLOOKUP(Table1[[#This Row],[Status]],Auxiliar!$B$16:$C$24,2,0)</f>
        <v>1</v>
      </c>
      <c r="K1095" s="20" t="s">
        <v>1198</v>
      </c>
      <c r="L1095" s="2" t="s">
        <v>649</v>
      </c>
      <c r="M1095" s="20" t="s">
        <v>1195</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1237</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1190</v>
      </c>
      <c r="L1096" s="2" t="s">
        <v>1193</v>
      </c>
      <c r="M1096" s="20" t="s">
        <v>1195</v>
      </c>
      <c r="N1096" s="47">
        <v>45562</v>
      </c>
      <c r="O1096" s="20">
        <f>INDEX(Auxiliar!$D$5:$F$13,MATCH(Table1[[#This Row],[Tipologia_Testes]],Auxiliar!$B$5:$B$13,0),MATCH(Table1[[#This Row],[Complexidade]],Auxiliar!$D$4:$F$4,0))</f>
        <v>0.1</v>
      </c>
      <c r="P1096" s="22" t="s">
        <v>1266</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1237</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1198</v>
      </c>
      <c r="L1097" s="2" t="s">
        <v>1193</v>
      </c>
      <c r="M1097" s="20" t="s">
        <v>1195</v>
      </c>
      <c r="N1097" s="47">
        <v>45562</v>
      </c>
      <c r="O1097" s="20">
        <f>INDEX(Auxiliar!$D$5:$F$13,MATCH(Table1[[#This Row],[Tipologia_Testes]],Auxiliar!$B$5:$B$13,0),MATCH(Table1[[#This Row],[Complexidade]],Auxiliar!$D$4:$F$4,0))</f>
        <v>0.5</v>
      </c>
      <c r="P1097" s="22" t="s">
        <v>1266</v>
      </c>
      <c r="Q1097" s="2"/>
      <c r="R1097" s="151">
        <v>45261</v>
      </c>
      <c r="S1097" s="151"/>
      <c r="T1097" s="151"/>
      <c r="U1097" s="151">
        <v>45603</v>
      </c>
      <c r="V1097" s="151"/>
      <c r="W1097" s="2">
        <f>VLOOKUP(Table1[[#This Row],[Status]],Auxiliar!$B$16:$D$24,3,0)*Table1[[#This Row],[Estimação (horas)]]</f>
        <v>0.5</v>
      </c>
      <c r="X1097" s="2"/>
    </row>
    <row r="1098" spans="2:24" ht="17.7" hidden="1" customHeight="1">
      <c r="B1098" s="12" t="s">
        <v>26</v>
      </c>
      <c r="C1098" s="12" t="s">
        <v>181</v>
      </c>
      <c r="D1098" s="12" t="s">
        <v>1237</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1198</v>
      </c>
      <c r="L1098" s="2" t="s">
        <v>1193</v>
      </c>
      <c r="M1098" s="20" t="s">
        <v>1195</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7" hidden="1" customHeight="1">
      <c r="B1099" s="12" t="s">
        <v>26</v>
      </c>
      <c r="C1099" s="12" t="s">
        <v>181</v>
      </c>
      <c r="D1099" s="12" t="s">
        <v>1237</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1198</v>
      </c>
      <c r="L1099" s="2" t="s">
        <v>649</v>
      </c>
      <c r="M1099" s="20" t="s">
        <v>1195</v>
      </c>
      <c r="N1099" s="47">
        <v>45537</v>
      </c>
      <c r="O1099" s="20">
        <f>INDEX(Auxiliar!$D$5:$F$13,MATCH(Table1[[#This Row],[Tipologia_Testes]],Auxiliar!$B$5:$B$13,0),MATCH(Table1[[#This Row],[Complexidade]],Auxiliar!$D$4:$F$4,0))</f>
        <v>0.5</v>
      </c>
      <c r="P1099" s="2" t="s">
        <v>1267</v>
      </c>
      <c r="Q1099" s="2"/>
      <c r="R1099" s="151">
        <v>45261</v>
      </c>
      <c r="S1099" s="151"/>
      <c r="T1099" s="151"/>
      <c r="U1099" s="151">
        <v>45603</v>
      </c>
      <c r="V1099" s="151"/>
      <c r="W1099" s="2">
        <f>VLOOKUP(Table1[[#This Row],[Status]],Auxiliar!$B$16:$D$24,3,0)*Table1[[#This Row],[Estimação (horas)]]</f>
        <v>0.5</v>
      </c>
      <c r="X1099" s="2"/>
    </row>
    <row r="1100" spans="2:24" ht="17.7" hidden="1" customHeight="1">
      <c r="B1100" s="12" t="s">
        <v>26</v>
      </c>
      <c r="C1100" s="12" t="s">
        <v>181</v>
      </c>
      <c r="D1100" s="12" t="s">
        <v>1237</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1198</v>
      </c>
      <c r="L1100" s="2" t="s">
        <v>649</v>
      </c>
      <c r="M1100" s="20" t="s">
        <v>1195</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7" hidden="1" customHeight="1">
      <c r="B1101" s="12" t="s">
        <v>26</v>
      </c>
      <c r="C1101" s="12" t="s">
        <v>181</v>
      </c>
      <c r="D1101" s="12" t="s">
        <v>1237</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1198</v>
      </c>
      <c r="L1101" s="2" t="s">
        <v>649</v>
      </c>
      <c r="M1101" s="20" t="s">
        <v>1195</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7" hidden="1" customHeight="1">
      <c r="B1102" s="12" t="s">
        <v>26</v>
      </c>
      <c r="C1102" s="12" t="s">
        <v>181</v>
      </c>
      <c r="D1102" s="12" t="s">
        <v>1237</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1190</v>
      </c>
      <c r="L1102" s="2" t="s">
        <v>1193</v>
      </c>
      <c r="M1102" s="20" t="s">
        <v>1195</v>
      </c>
      <c r="N1102" s="47">
        <v>45540</v>
      </c>
      <c r="O1102" s="20">
        <f>INDEX(Auxiliar!$D$5:$F$13,MATCH(Table1[[#This Row],[Tipologia_Testes]],Auxiliar!$B$5:$B$13,0),MATCH(Table1[[#This Row],[Complexidade]],Auxiliar!$D$4:$F$4,0))</f>
        <v>0.1</v>
      </c>
      <c r="P1102" s="2" t="s">
        <v>1268</v>
      </c>
      <c r="Q1102" s="2"/>
      <c r="R1102" s="151">
        <v>45261</v>
      </c>
      <c r="S1102" s="151"/>
      <c r="T1102" s="151"/>
      <c r="U1102" s="151">
        <v>45603</v>
      </c>
      <c r="V1102" s="151"/>
      <c r="W1102" s="2">
        <f>VLOOKUP(Table1[[#This Row],[Status]],Auxiliar!$B$16:$D$24,3,0)*Table1[[#This Row],[Estimação (horas)]]</f>
        <v>0.1</v>
      </c>
      <c r="X1102" s="2"/>
    </row>
    <row r="1103" spans="2:24" ht="17.7" hidden="1" customHeight="1">
      <c r="B1103" s="12" t="s">
        <v>26</v>
      </c>
      <c r="C1103" s="12" t="s">
        <v>181</v>
      </c>
      <c r="D1103" s="12" t="s">
        <v>1237</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1198</v>
      </c>
      <c r="L1103" s="2" t="s">
        <v>1193</v>
      </c>
      <c r="M1103" s="20" t="s">
        <v>1195</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7" hidden="1" customHeight="1">
      <c r="B1104" s="12" t="s">
        <v>26</v>
      </c>
      <c r="C1104" s="12" t="s">
        <v>181</v>
      </c>
      <c r="D1104" s="12" t="s">
        <v>1237</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1198</v>
      </c>
      <c r="L1104" s="2" t="s">
        <v>1193</v>
      </c>
      <c r="M1104" s="20" t="s">
        <v>1195</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7" hidden="1" customHeight="1">
      <c r="B1105" s="12" t="s">
        <v>26</v>
      </c>
      <c r="C1105" s="12" t="s">
        <v>181</v>
      </c>
      <c r="D1105" s="12" t="s">
        <v>1237</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1198</v>
      </c>
      <c r="L1105" s="2" t="s">
        <v>1185</v>
      </c>
      <c r="M1105" s="20" t="s">
        <v>1195</v>
      </c>
      <c r="N1105" s="47">
        <v>45540</v>
      </c>
      <c r="O1105" s="20">
        <f>INDEX(Auxiliar!$D$5:$F$13,MATCH(Table1[[#This Row],[Tipologia_Testes]],Auxiliar!$B$5:$B$13,0),MATCH(Table1[[#This Row],[Complexidade]],Auxiliar!$D$4:$F$4,0))</f>
        <v>0.5</v>
      </c>
      <c r="P1105" s="2" t="s">
        <v>1265</v>
      </c>
      <c r="Q1105" s="2"/>
      <c r="R1105" s="151">
        <v>45261</v>
      </c>
      <c r="S1105" s="151"/>
      <c r="T1105" s="151"/>
      <c r="U1105" s="151">
        <v>45603</v>
      </c>
      <c r="V1105" s="151"/>
      <c r="W1105" s="2">
        <f>VLOOKUP(Table1[[#This Row],[Status]],Auxiliar!$B$16:$D$24,3,0)*Table1[[#This Row],[Estimação (horas)]]</f>
        <v>0.5</v>
      </c>
      <c r="X1105" s="2"/>
    </row>
    <row r="1106" spans="2:24" ht="17.7" hidden="1" customHeight="1">
      <c r="B1106" s="12" t="s">
        <v>26</v>
      </c>
      <c r="C1106" s="12" t="s">
        <v>181</v>
      </c>
      <c r="D1106" s="12" t="s">
        <v>1237</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1190</v>
      </c>
      <c r="L1106" s="2" t="s">
        <v>1193</v>
      </c>
      <c r="M1106" s="20" t="s">
        <v>1195</v>
      </c>
      <c r="N1106" s="47">
        <v>45562</v>
      </c>
      <c r="O1106" s="20">
        <f>INDEX(Auxiliar!$D$5:$F$13,MATCH(Table1[[#This Row],[Tipologia_Testes]],Auxiliar!$B$5:$B$13,0),MATCH(Table1[[#This Row],[Complexidade]],Auxiliar!$D$4:$F$4,0))</f>
        <v>0.1</v>
      </c>
      <c r="P1106" s="2" t="s">
        <v>1269</v>
      </c>
      <c r="Q1106" s="2"/>
      <c r="R1106" s="151">
        <v>45261</v>
      </c>
      <c r="S1106" s="151"/>
      <c r="T1106" s="151"/>
      <c r="U1106" s="151">
        <v>45603</v>
      </c>
      <c r="V1106" s="151"/>
      <c r="W1106" s="2">
        <f>VLOOKUP(Table1[[#This Row],[Status]],Auxiliar!$B$16:$D$24,3,0)*Table1[[#This Row],[Estimação (horas)]]</f>
        <v>0.1</v>
      </c>
      <c r="X1106" s="2"/>
    </row>
    <row r="1107" spans="2:24" ht="17.7" hidden="1" customHeight="1">
      <c r="B1107" s="12" t="s">
        <v>26</v>
      </c>
      <c r="C1107" s="12" t="s">
        <v>181</v>
      </c>
      <c r="D1107" s="12" t="s">
        <v>1237</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1198</v>
      </c>
      <c r="L1107" s="2" t="s">
        <v>1193</v>
      </c>
      <c r="M1107" s="20" t="s">
        <v>1195</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7" hidden="1" customHeight="1">
      <c r="B1108" s="12" t="s">
        <v>26</v>
      </c>
      <c r="C1108" s="12" t="s">
        <v>181</v>
      </c>
      <c r="D1108" s="12" t="s">
        <v>1237</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1190</v>
      </c>
      <c r="L1108" s="2" t="s">
        <v>1193</v>
      </c>
      <c r="M1108" s="20" t="s">
        <v>1195</v>
      </c>
      <c r="N1108" s="47">
        <v>45562</v>
      </c>
      <c r="O1108" s="20">
        <f>INDEX(Auxiliar!$D$5:$F$13,MATCH(Table1[[#This Row],[Tipologia_Testes]],Auxiliar!$B$5:$B$13,0),MATCH(Table1[[#This Row],[Complexidade]],Auxiliar!$D$4:$F$4,0))</f>
        <v>0.1</v>
      </c>
      <c r="P1108" s="2" t="s">
        <v>1269</v>
      </c>
      <c r="Q1108" s="2"/>
      <c r="R1108" s="151">
        <v>45261</v>
      </c>
      <c r="S1108" s="151"/>
      <c r="T1108" s="151"/>
      <c r="U1108" s="151">
        <v>45603</v>
      </c>
      <c r="V1108" s="151"/>
      <c r="W1108" s="2">
        <f>VLOOKUP(Table1[[#This Row],[Status]],Auxiliar!$B$16:$D$24,3,0)*Table1[[#This Row],[Estimação (horas)]]</f>
        <v>0.1</v>
      </c>
      <c r="X1108" s="2"/>
    </row>
    <row r="1109" spans="2:24" ht="17.7" hidden="1" customHeight="1">
      <c r="B1109" s="12" t="s">
        <v>26</v>
      </c>
      <c r="C1109" s="12" t="s">
        <v>181</v>
      </c>
      <c r="D1109" s="12" t="s">
        <v>1237</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1198</v>
      </c>
      <c r="L1109" s="2" t="s">
        <v>1193</v>
      </c>
      <c r="M1109" s="20" t="s">
        <v>1195</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7" hidden="1" customHeight="1">
      <c r="B1110" s="12" t="s">
        <v>26</v>
      </c>
      <c r="C1110" s="12" t="s">
        <v>181</v>
      </c>
      <c r="D1110" s="12" t="s">
        <v>1237</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1190</v>
      </c>
      <c r="L1110" s="2" t="s">
        <v>1193</v>
      </c>
      <c r="M1110" s="20" t="s">
        <v>1195</v>
      </c>
      <c r="N1110" s="47">
        <v>45562</v>
      </c>
      <c r="O1110" s="20">
        <f>INDEX(Auxiliar!$D$5:$F$13,MATCH(Table1[[#This Row],[Tipologia_Testes]],Auxiliar!$B$5:$B$13,0),MATCH(Table1[[#This Row],[Complexidade]],Auxiliar!$D$4:$F$4,0))</f>
        <v>0.1</v>
      </c>
      <c r="P1110" s="2" t="s">
        <v>1269</v>
      </c>
      <c r="Q1110" s="2"/>
      <c r="R1110" s="151">
        <v>45261</v>
      </c>
      <c r="S1110" s="151"/>
      <c r="T1110" s="151"/>
      <c r="U1110" s="151">
        <v>45603</v>
      </c>
      <c r="V1110" s="151"/>
      <c r="W1110" s="2">
        <f>VLOOKUP(Table1[[#This Row],[Status]],Auxiliar!$B$16:$D$24,3,0)*Table1[[#This Row],[Estimação (horas)]]</f>
        <v>0.1</v>
      </c>
      <c r="X1110" s="2"/>
    </row>
    <row r="1111" spans="2:24" ht="17.7" hidden="1" customHeight="1">
      <c r="B1111" s="12" t="s">
        <v>26</v>
      </c>
      <c r="C1111" s="12" t="s">
        <v>181</v>
      </c>
      <c r="D1111" s="12" t="s">
        <v>1237</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1198</v>
      </c>
      <c r="L1111" s="2" t="s">
        <v>1193</v>
      </c>
      <c r="M1111" s="20" t="s">
        <v>1195</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7" hidden="1" customHeight="1">
      <c r="B1112" s="12" t="s">
        <v>26</v>
      </c>
      <c r="C1112" s="12" t="s">
        <v>181</v>
      </c>
      <c r="D1112" s="12" t="s">
        <v>1237</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1198</v>
      </c>
      <c r="L1112" s="20" t="s">
        <v>1193</v>
      </c>
      <c r="M1112" s="20" t="s">
        <v>1195</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7" hidden="1" customHeight="1">
      <c r="B1113" s="12" t="s">
        <v>26</v>
      </c>
      <c r="C1113" s="12" t="s">
        <v>181</v>
      </c>
      <c r="D1113" s="12" t="s">
        <v>1237</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1198</v>
      </c>
      <c r="L1113" s="20" t="s">
        <v>1193</v>
      </c>
      <c r="M1113" s="20" t="s">
        <v>1195</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7" hidden="1" customHeight="1">
      <c r="B1114" s="12" t="s">
        <v>26</v>
      </c>
      <c r="C1114" s="12" t="s">
        <v>181</v>
      </c>
      <c r="D1114" s="12" t="s">
        <v>1237</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1198</v>
      </c>
      <c r="L1114" s="20" t="s">
        <v>1193</v>
      </c>
      <c r="M1114" s="20" t="s">
        <v>1195</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7" hidden="1" customHeight="1">
      <c r="B1115" s="12" t="s">
        <v>26</v>
      </c>
      <c r="C1115" s="12" t="s">
        <v>181</v>
      </c>
      <c r="D1115" s="12" t="s">
        <v>1237</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1198</v>
      </c>
      <c r="L1115" s="2" t="s">
        <v>649</v>
      </c>
      <c r="M1115" s="20" t="s">
        <v>1195</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7" hidden="1" customHeight="1">
      <c r="B1116" s="12" t="s">
        <v>26</v>
      </c>
      <c r="C1116" s="12" t="s">
        <v>181</v>
      </c>
      <c r="D1116" s="12" t="s">
        <v>1237</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1198</v>
      </c>
      <c r="L1116" s="2" t="s">
        <v>649</v>
      </c>
      <c r="M1116" s="20" t="s">
        <v>1195</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7" hidden="1" customHeight="1">
      <c r="B1117" s="12" t="s">
        <v>26</v>
      </c>
      <c r="C1117" s="12" t="s">
        <v>181</v>
      </c>
      <c r="D1117" s="12" t="s">
        <v>1237</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1198</v>
      </c>
      <c r="L1117" s="2" t="s">
        <v>649</v>
      </c>
      <c r="M1117" s="20" t="s">
        <v>1195</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7" hidden="1" customHeight="1">
      <c r="B1118" s="12" t="s">
        <v>26</v>
      </c>
      <c r="C1118" s="12" t="s">
        <v>181</v>
      </c>
      <c r="D1118" s="12" t="s">
        <v>1237</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1198</v>
      </c>
      <c r="L1118" s="20" t="s">
        <v>1193</v>
      </c>
      <c r="M1118" s="20" t="s">
        <v>1195</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7" hidden="1" customHeight="1">
      <c r="B1119" s="12" t="s">
        <v>26</v>
      </c>
      <c r="C1119" s="12" t="s">
        <v>181</v>
      </c>
      <c r="D1119" s="12" t="s">
        <v>1237</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1198</v>
      </c>
      <c r="L1119" s="20" t="s">
        <v>1193</v>
      </c>
      <c r="M1119" s="20" t="s">
        <v>1195</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7" hidden="1" customHeight="1">
      <c r="B1120" s="12" t="s">
        <v>26</v>
      </c>
      <c r="C1120" s="12" t="s">
        <v>181</v>
      </c>
      <c r="D1120" s="12" t="s">
        <v>1237</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1198</v>
      </c>
      <c r="L1120" s="20" t="s">
        <v>1193</v>
      </c>
      <c r="M1120" s="20" t="s">
        <v>1195</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7" hidden="1" customHeight="1">
      <c r="B1121" s="12" t="s">
        <v>26</v>
      </c>
      <c r="C1121" s="12" t="s">
        <v>181</v>
      </c>
      <c r="D1121" s="12" t="s">
        <v>1237</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1198</v>
      </c>
      <c r="L1121" s="20" t="s">
        <v>1193</v>
      </c>
      <c r="M1121" s="20" t="s">
        <v>1195</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7" hidden="1" customHeight="1">
      <c r="B1122" s="12" t="s">
        <v>26</v>
      </c>
      <c r="C1122" s="12" t="s">
        <v>181</v>
      </c>
      <c r="D1122" s="12" t="s">
        <v>1237</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1198</v>
      </c>
      <c r="L1122" s="20" t="s">
        <v>1193</v>
      </c>
      <c r="M1122" s="20" t="s">
        <v>1195</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7" hidden="1" customHeight="1">
      <c r="B1123" s="12" t="s">
        <v>26</v>
      </c>
      <c r="C1123" s="12" t="s">
        <v>181</v>
      </c>
      <c r="D1123" s="12" t="s">
        <v>1237</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1198</v>
      </c>
      <c r="L1123" s="20" t="s">
        <v>1193</v>
      </c>
      <c r="M1123" s="20" t="s">
        <v>1195</v>
      </c>
      <c r="N1123" s="47">
        <v>45546</v>
      </c>
      <c r="O1123" s="20">
        <f>INDEX(Auxiliar!$D$5:$F$13,MATCH(Table1[[#This Row],[Tipologia_Testes]],Auxiliar!$B$5:$B$13,0),MATCH(Table1[[#This Row],[Complexidade]],Auxiliar!$D$4:$F$4,0))</f>
        <v>0.5</v>
      </c>
      <c r="P1123" s="2" t="s">
        <v>1270</v>
      </c>
      <c r="Q1123" s="2"/>
      <c r="R1123" s="151">
        <v>45261</v>
      </c>
      <c r="S1123" s="151"/>
      <c r="T1123" s="151"/>
      <c r="U1123" s="151">
        <v>45603</v>
      </c>
      <c r="V1123" s="151">
        <v>45534</v>
      </c>
      <c r="W1123" s="2">
        <f>VLOOKUP(Table1[[#This Row],[Status]],Auxiliar!$B$16:$D$24,3,0)*Table1[[#This Row],[Estimação (horas)]]</f>
        <v>0.5</v>
      </c>
      <c r="X1123" s="2"/>
    </row>
    <row r="1124" spans="2:24" ht="17.7" hidden="1" customHeight="1">
      <c r="B1124" s="12" t="s">
        <v>26</v>
      </c>
      <c r="C1124" s="12" t="s">
        <v>181</v>
      </c>
      <c r="D1124" s="12" t="s">
        <v>1237</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1198</v>
      </c>
      <c r="L1124" s="20" t="s">
        <v>1193</v>
      </c>
      <c r="M1124" s="20" t="s">
        <v>1195</v>
      </c>
      <c r="N1124" s="47">
        <v>45546</v>
      </c>
      <c r="O1124" s="20">
        <f>INDEX(Auxiliar!$D$5:$F$13,MATCH(Table1[[#This Row],[Tipologia_Testes]],Auxiliar!$B$5:$B$13,0),MATCH(Table1[[#This Row],[Complexidade]],Auxiliar!$D$4:$F$4,0))</f>
        <v>0.5</v>
      </c>
      <c r="P1124" s="2" t="s">
        <v>1270</v>
      </c>
      <c r="Q1124" s="2"/>
      <c r="R1124" s="151">
        <v>45261</v>
      </c>
      <c r="S1124" s="151"/>
      <c r="T1124" s="151"/>
      <c r="U1124" s="151">
        <v>45603</v>
      </c>
      <c r="V1124" s="151">
        <v>45534</v>
      </c>
      <c r="W1124" s="2">
        <f>VLOOKUP(Table1[[#This Row],[Status]],Auxiliar!$B$16:$D$24,3,0)*Table1[[#This Row],[Estimação (horas)]]</f>
        <v>0.5</v>
      </c>
      <c r="X1124" s="2"/>
    </row>
    <row r="1125" spans="2:24" ht="17.7" hidden="1" customHeight="1">
      <c r="B1125" s="12" t="s">
        <v>26</v>
      </c>
      <c r="C1125" s="12" t="s">
        <v>181</v>
      </c>
      <c r="D1125" s="12" t="s">
        <v>1237</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1198</v>
      </c>
      <c r="L1125" s="20" t="s">
        <v>1193</v>
      </c>
      <c r="M1125" s="20" t="s">
        <v>1195</v>
      </c>
      <c r="N1125" s="47">
        <v>45546</v>
      </c>
      <c r="O1125" s="20">
        <f>INDEX(Auxiliar!$D$5:$F$13,MATCH(Table1[[#This Row],[Tipologia_Testes]],Auxiliar!$B$5:$B$13,0),MATCH(Table1[[#This Row],[Complexidade]],Auxiliar!$D$4:$F$4,0))</f>
        <v>0.5</v>
      </c>
      <c r="P1125" s="2" t="s">
        <v>1270</v>
      </c>
      <c r="Q1125" s="2"/>
      <c r="R1125" s="151">
        <v>45261</v>
      </c>
      <c r="S1125" s="151"/>
      <c r="T1125" s="151"/>
      <c r="U1125" s="151">
        <v>45603</v>
      </c>
      <c r="V1125" s="151">
        <v>45534</v>
      </c>
      <c r="W1125" s="2">
        <f>VLOOKUP(Table1[[#This Row],[Status]],Auxiliar!$B$16:$D$24,3,0)*Table1[[#This Row],[Estimação (horas)]]</f>
        <v>0.5</v>
      </c>
      <c r="X1125" s="2"/>
    </row>
    <row r="1126" spans="2:24" ht="17.7" hidden="1" customHeight="1">
      <c r="B1126" s="12" t="s">
        <v>26</v>
      </c>
      <c r="C1126" s="12" t="s">
        <v>181</v>
      </c>
      <c r="D1126" s="12" t="s">
        <v>1237</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1198</v>
      </c>
      <c r="L1126" s="2" t="s">
        <v>1185</v>
      </c>
      <c r="M1126" s="20" t="s">
        <v>1195</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7" hidden="1" customHeight="1">
      <c r="B1127" s="12" t="s">
        <v>26</v>
      </c>
      <c r="C1127" s="12" t="s">
        <v>181</v>
      </c>
      <c r="D1127" s="12" t="s">
        <v>1237</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1198</v>
      </c>
      <c r="L1127" s="2" t="s">
        <v>649</v>
      </c>
      <c r="M1127" s="20" t="s">
        <v>1195</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7" hidden="1" customHeight="1">
      <c r="B1128" s="12" t="s">
        <v>26</v>
      </c>
      <c r="C1128" s="12" t="s">
        <v>181</v>
      </c>
      <c r="D1128" s="12" t="s">
        <v>1237</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1190</v>
      </c>
      <c r="L1128" s="20" t="s">
        <v>1193</v>
      </c>
      <c r="M1128" s="20" t="s">
        <v>1195</v>
      </c>
      <c r="N1128" s="47">
        <v>45546</v>
      </c>
      <c r="O1128" s="20">
        <f>INDEX(Auxiliar!$D$5:$F$13,MATCH(Table1[[#This Row],[Tipologia_Testes]],Auxiliar!$B$5:$B$13,0),MATCH(Table1[[#This Row],[Complexidade]],Auxiliar!$D$4:$F$4,0))</f>
        <v>0.1</v>
      </c>
      <c r="P1128" s="2" t="s">
        <v>1271</v>
      </c>
      <c r="Q1128" s="2"/>
      <c r="R1128" s="151">
        <v>45261</v>
      </c>
      <c r="S1128" s="151"/>
      <c r="T1128" s="151"/>
      <c r="U1128" s="151">
        <v>45603</v>
      </c>
      <c r="V1128" s="151">
        <v>45534</v>
      </c>
      <c r="W1128" s="2">
        <f>VLOOKUP(Table1[[#This Row],[Status]],Auxiliar!$B$16:$D$24,3,0)*Table1[[#This Row],[Estimação (horas)]]</f>
        <v>0.1</v>
      </c>
      <c r="X1128" s="2"/>
    </row>
    <row r="1129" spans="2:24" ht="17.7" hidden="1" customHeight="1">
      <c r="B1129" s="12" t="s">
        <v>26</v>
      </c>
      <c r="C1129" s="12" t="s">
        <v>181</v>
      </c>
      <c r="D1129" s="12" t="s">
        <v>1237</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1198</v>
      </c>
      <c r="L1129" s="20" t="s">
        <v>1193</v>
      </c>
      <c r="M1129" s="20" t="s">
        <v>1195</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7" hidden="1" customHeight="1">
      <c r="B1130" s="12" t="s">
        <v>26</v>
      </c>
      <c r="C1130" s="12" t="s">
        <v>181</v>
      </c>
      <c r="D1130" s="12" t="s">
        <v>1237</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1190</v>
      </c>
      <c r="L1130" s="20" t="s">
        <v>1193</v>
      </c>
      <c r="M1130" s="20" t="s">
        <v>1195</v>
      </c>
      <c r="N1130" s="47">
        <v>45546</v>
      </c>
      <c r="O1130" s="20">
        <f>INDEX(Auxiliar!$D$5:$F$13,MATCH(Table1[[#This Row],[Tipologia_Testes]],Auxiliar!$B$5:$B$13,0),MATCH(Table1[[#This Row],[Complexidade]],Auxiliar!$D$4:$F$4,0))</f>
        <v>0.1</v>
      </c>
      <c r="P1130" s="2" t="s">
        <v>1271</v>
      </c>
      <c r="Q1130" s="2"/>
      <c r="R1130" s="151">
        <v>45261</v>
      </c>
      <c r="S1130" s="151"/>
      <c r="T1130" s="151"/>
      <c r="U1130" s="151">
        <v>45603</v>
      </c>
      <c r="V1130" s="151">
        <v>45534</v>
      </c>
      <c r="W1130" s="2">
        <f>VLOOKUP(Table1[[#This Row],[Status]],Auxiliar!$B$16:$D$24,3,0)*Table1[[#This Row],[Estimação (horas)]]</f>
        <v>0.1</v>
      </c>
      <c r="X1130" s="2"/>
    </row>
    <row r="1131" spans="2:24" ht="17.7" hidden="1" customHeight="1">
      <c r="B1131" s="12" t="s">
        <v>26</v>
      </c>
      <c r="C1131" s="12" t="s">
        <v>181</v>
      </c>
      <c r="D1131" s="12" t="s">
        <v>1237</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1198</v>
      </c>
      <c r="L1131" s="20" t="s">
        <v>1193</v>
      </c>
      <c r="M1131" s="20" t="s">
        <v>1195</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7" hidden="1" customHeight="1">
      <c r="B1132" s="19" t="s">
        <v>26</v>
      </c>
      <c r="C1132" s="19" t="s">
        <v>181</v>
      </c>
      <c r="D1132" s="12" t="s">
        <v>1237</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1198</v>
      </c>
      <c r="L1132" s="20" t="s">
        <v>1193</v>
      </c>
      <c r="M1132" s="20" t="s">
        <v>1195</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4.950000000000003" hidden="1" customHeight="1">
      <c r="B1133" s="38" t="s">
        <v>26</v>
      </c>
      <c r="C1133" s="38" t="s">
        <v>26</v>
      </c>
      <c r="D1133" s="35" t="s">
        <v>337</v>
      </c>
      <c r="E1133" s="110" t="s">
        <v>1272</v>
      </c>
      <c r="F1133" s="39" t="s">
        <v>335</v>
      </c>
      <c r="G1133" s="37" t="s">
        <v>336</v>
      </c>
      <c r="H1133" s="59" t="str">
        <f>Table1[[#This Row],[Tabela]]&amp;Table1[[#This Row],[Campo]]</f>
        <v>lt003_entitynace_esg</v>
      </c>
      <c r="I1133" s="2" t="s">
        <v>613</v>
      </c>
      <c r="J1133" s="44">
        <f>VLOOKUP(Table1[[#This Row],[Status]],Auxiliar!$B$16:$C$24,2,0)</f>
        <v>4</v>
      </c>
      <c r="K1133" s="44" t="s">
        <v>1187</v>
      </c>
      <c r="L1133" s="45" t="s">
        <v>1193</v>
      </c>
      <c r="M1133" s="20" t="s">
        <v>1194</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4.950000000000003" hidden="1" customHeight="1">
      <c r="B1134" s="38" t="s">
        <v>26</v>
      </c>
      <c r="C1134" s="38" t="s">
        <v>26</v>
      </c>
      <c r="D1134" s="35" t="s">
        <v>337</v>
      </c>
      <c r="E1134" s="110" t="s">
        <v>1272</v>
      </c>
      <c r="F1134" s="39" t="s">
        <v>335</v>
      </c>
      <c r="G1134" s="37" t="s">
        <v>336</v>
      </c>
      <c r="H1134" s="59" t="str">
        <f>Table1[[#This Row],[Tabela]]&amp;Table1[[#This Row],[Campo]]</f>
        <v>lt003_entitynace_esg</v>
      </c>
      <c r="I1134" s="2" t="s">
        <v>613</v>
      </c>
      <c r="J1134" s="44">
        <f>VLOOKUP(Table1[[#This Row],[Status]],Auxiliar!$B$16:$C$24,2,0)</f>
        <v>4</v>
      </c>
      <c r="K1134" s="44" t="s">
        <v>1188</v>
      </c>
      <c r="L1134" s="45" t="s">
        <v>1193</v>
      </c>
      <c r="M1134" s="20" t="s">
        <v>1194</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4.950000000000003" hidden="1" customHeight="1">
      <c r="B1135" s="38" t="s">
        <v>26</v>
      </c>
      <c r="C1135" s="38" t="s">
        <v>26</v>
      </c>
      <c r="D1135" s="35" t="s">
        <v>337</v>
      </c>
      <c r="E1135" s="110" t="s">
        <v>1272</v>
      </c>
      <c r="F1135" s="39" t="s">
        <v>335</v>
      </c>
      <c r="G1135" s="37" t="s">
        <v>336</v>
      </c>
      <c r="H1135" s="59" t="str">
        <f>Table1[[#This Row],[Tabela]]&amp;Table1[[#This Row],[Campo]]</f>
        <v>lt003_entitynace_esg</v>
      </c>
      <c r="I1135" s="2" t="s">
        <v>613</v>
      </c>
      <c r="J1135" s="44">
        <f>VLOOKUP(Table1[[#This Row],[Status]],Auxiliar!$B$16:$C$24,2,0)</f>
        <v>4</v>
      </c>
      <c r="K1135" s="44" t="s">
        <v>1190</v>
      </c>
      <c r="L1135" s="45" t="s">
        <v>1193</v>
      </c>
      <c r="M1135" s="20" t="s">
        <v>1194</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4.950000000000003"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1187</v>
      </c>
      <c r="L1136" s="45" t="s">
        <v>1193</v>
      </c>
      <c r="M1136" s="20" t="s">
        <v>1194</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7"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1188</v>
      </c>
      <c r="L1137" s="45" t="s">
        <v>1193</v>
      </c>
      <c r="M1137" s="20" t="s">
        <v>1194</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7"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1190</v>
      </c>
      <c r="L1138" s="45" t="s">
        <v>1193</v>
      </c>
      <c r="M1138" s="20" t="s">
        <v>1194</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4.950000000000003"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1187</v>
      </c>
      <c r="L1139" s="45" t="s">
        <v>1193</v>
      </c>
      <c r="M1139" s="20" t="s">
        <v>1194</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7"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1188</v>
      </c>
      <c r="L1140" s="45" t="s">
        <v>1193</v>
      </c>
      <c r="M1140" s="20" t="s">
        <v>1194</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7"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1190</v>
      </c>
      <c r="L1141" s="45" t="s">
        <v>1193</v>
      </c>
      <c r="M1141" s="20" t="s">
        <v>1194</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4.950000000000003"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1187</v>
      </c>
      <c r="L1142" s="45" t="s">
        <v>1193</v>
      </c>
      <c r="M1142" s="20" t="s">
        <v>1194</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7"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1188</v>
      </c>
      <c r="L1143" s="45" t="s">
        <v>1193</v>
      </c>
      <c r="M1143" s="20" t="s">
        <v>1194</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7"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1190</v>
      </c>
      <c r="L1144" s="45" t="s">
        <v>1193</v>
      </c>
      <c r="M1144" s="20" t="s">
        <v>1194</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4.950000000000003"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1187</v>
      </c>
      <c r="L1145" s="45" t="s">
        <v>1193</v>
      </c>
      <c r="M1145" s="20" t="s">
        <v>1194</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7"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1188</v>
      </c>
      <c r="L1146" s="45" t="s">
        <v>1193</v>
      </c>
      <c r="M1146" s="20" t="s">
        <v>1194</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7"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1190</v>
      </c>
      <c r="L1147" s="45" t="s">
        <v>1193</v>
      </c>
      <c r="M1147" s="20" t="s">
        <v>1194</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4.950000000000003"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1187</v>
      </c>
      <c r="L1148" s="45" t="s">
        <v>1193</v>
      </c>
      <c r="M1148" s="20" t="s">
        <v>1194</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7"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1188</v>
      </c>
      <c r="L1149" s="45" t="s">
        <v>1193</v>
      </c>
      <c r="M1149" s="20" t="s">
        <v>1194</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7"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1190</v>
      </c>
      <c r="L1150" s="45" t="s">
        <v>1193</v>
      </c>
      <c r="M1150" s="20" t="s">
        <v>1194</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4.950000000000003"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1187</v>
      </c>
      <c r="L1151" s="45" t="s">
        <v>1193</v>
      </c>
      <c r="M1151" s="20" t="s">
        <v>1194</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7"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1188</v>
      </c>
      <c r="L1152" s="45" t="s">
        <v>1193</v>
      </c>
      <c r="M1152" s="20" t="s">
        <v>1194</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7"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1190</v>
      </c>
      <c r="L1153" s="45" t="s">
        <v>1193</v>
      </c>
      <c r="M1153" s="20" t="s">
        <v>1194</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4.950000000000003"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1187</v>
      </c>
      <c r="L1154" s="45" t="s">
        <v>1193</v>
      </c>
      <c r="M1154" s="20" t="s">
        <v>1194</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7"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1188</v>
      </c>
      <c r="L1155" s="45" t="s">
        <v>1193</v>
      </c>
      <c r="M1155" s="20" t="s">
        <v>1194</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7"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1190</v>
      </c>
      <c r="L1156" s="45" t="s">
        <v>1193</v>
      </c>
      <c r="M1156" s="20" t="s">
        <v>1194</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4.950000000000003"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1187</v>
      </c>
      <c r="L1157" s="45" t="s">
        <v>1193</v>
      </c>
      <c r="M1157" s="20" t="s">
        <v>1194</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7"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1188</v>
      </c>
      <c r="L1158" s="45" t="s">
        <v>1193</v>
      </c>
      <c r="M1158" s="20" t="s">
        <v>1194</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7"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1190</v>
      </c>
      <c r="L1159" s="45" t="s">
        <v>1193</v>
      </c>
      <c r="M1159" s="20" t="s">
        <v>1194</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4.950000000000003"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1187</v>
      </c>
      <c r="L1160" s="45" t="s">
        <v>1193</v>
      </c>
      <c r="M1160" s="20" t="s">
        <v>1194</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7"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1188</v>
      </c>
      <c r="L1161" s="45" t="s">
        <v>1193</v>
      </c>
      <c r="M1161" s="20" t="s">
        <v>1194</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7"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1190</v>
      </c>
      <c r="L1162" s="45" t="s">
        <v>1193</v>
      </c>
      <c r="M1162" s="20" t="s">
        <v>1194</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4.950000000000003"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1187</v>
      </c>
      <c r="L1163" s="45" t="s">
        <v>1193</v>
      </c>
      <c r="M1163" s="20" t="s">
        <v>1194</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7"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1188</v>
      </c>
      <c r="L1164" s="45" t="s">
        <v>1193</v>
      </c>
      <c r="M1164" s="20" t="s">
        <v>1194</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7"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1190</v>
      </c>
      <c r="L1165" s="45" t="s">
        <v>1193</v>
      </c>
      <c r="M1165" s="20" t="s">
        <v>1194</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4.950000000000003"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1187</v>
      </c>
      <c r="L1166" s="45" t="s">
        <v>1193</v>
      </c>
      <c r="M1166" s="20" t="s">
        <v>1194</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7"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1188</v>
      </c>
      <c r="L1167" s="45" t="s">
        <v>1193</v>
      </c>
      <c r="M1167" s="20" t="s">
        <v>1194</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7"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1190</v>
      </c>
      <c r="L1168" s="45" t="s">
        <v>1193</v>
      </c>
      <c r="M1168" s="20" t="s">
        <v>1194</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4.950000000000003"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1187</v>
      </c>
      <c r="L1169" s="45" t="s">
        <v>1193</v>
      </c>
      <c r="M1169" s="20" t="s">
        <v>1194</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7"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1188</v>
      </c>
      <c r="L1170" s="45" t="s">
        <v>1193</v>
      </c>
      <c r="M1170" s="20" t="s">
        <v>1194</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7"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1190</v>
      </c>
      <c r="L1171" s="45" t="s">
        <v>1193</v>
      </c>
      <c r="M1171" s="20" t="s">
        <v>1194</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4.950000000000003"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1187</v>
      </c>
      <c r="L1172" s="45" t="s">
        <v>1193</v>
      </c>
      <c r="M1172" s="20" t="s">
        <v>1194</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7"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1188</v>
      </c>
      <c r="L1173" s="45" t="s">
        <v>1193</v>
      </c>
      <c r="M1173" s="20" t="s">
        <v>1194</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7"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1190</v>
      </c>
      <c r="L1174" s="45" t="s">
        <v>1193</v>
      </c>
      <c r="M1174" s="20" t="s">
        <v>1194</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4.950000000000003"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1187</v>
      </c>
      <c r="L1175" s="45" t="s">
        <v>1193</v>
      </c>
      <c r="M1175" s="20" t="s">
        <v>1194</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7"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1188</v>
      </c>
      <c r="L1176" s="45" t="s">
        <v>1193</v>
      </c>
      <c r="M1176" s="20" t="s">
        <v>1194</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7"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1190</v>
      </c>
      <c r="L1177" s="45" t="s">
        <v>1193</v>
      </c>
      <c r="M1177" s="20" t="s">
        <v>1194</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4.950000000000003" hidden="1" customHeight="1">
      <c r="B1178" s="40" t="s">
        <v>26</v>
      </c>
      <c r="C1178" s="40" t="s">
        <v>26</v>
      </c>
      <c r="D1178" s="35" t="s">
        <v>325</v>
      </c>
      <c r="E1178" s="110" t="s">
        <v>1272</v>
      </c>
      <c r="F1178" s="39" t="s">
        <v>335</v>
      </c>
      <c r="G1178" s="37" t="s">
        <v>352</v>
      </c>
      <c r="H1178" s="59" t="str">
        <f>Table1[[#This Row],[Tabela]]&amp;Table1[[#This Row],[Campo]]</f>
        <v>lt003_entityflg_nfrd_applcblty</v>
      </c>
      <c r="I1178" s="2" t="s">
        <v>612</v>
      </c>
      <c r="J1178" s="44">
        <f>VLOOKUP(Table1[[#This Row],[Status]],Auxiliar!$B$16:$C$24,2,0)</f>
        <v>1</v>
      </c>
      <c r="K1178" s="44" t="s">
        <v>1187</v>
      </c>
      <c r="L1178" s="45" t="s">
        <v>1193</v>
      </c>
      <c r="M1178" s="20" t="s">
        <v>1194</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7" hidden="1" customHeight="1">
      <c r="B1179" s="38" t="s">
        <v>26</v>
      </c>
      <c r="C1179" s="38" t="s">
        <v>26</v>
      </c>
      <c r="D1179" s="38" t="s">
        <v>325</v>
      </c>
      <c r="E1179" s="38" t="s">
        <v>1272</v>
      </c>
      <c r="F1179" s="38" t="s">
        <v>335</v>
      </c>
      <c r="G1179" s="38" t="s">
        <v>352</v>
      </c>
      <c r="H1179" s="58" t="str">
        <f>Table1[[#This Row],[Tabela]]&amp;Table1[[#This Row],[Campo]]</f>
        <v>lt003_entityflg_nfrd_applcblty</v>
      </c>
      <c r="I1179" s="2" t="s">
        <v>612</v>
      </c>
      <c r="J1179" s="44">
        <f>VLOOKUP(Table1[[#This Row],[Status]],Auxiliar!$B$16:$C$24,2,0)</f>
        <v>1</v>
      </c>
      <c r="K1179" s="44" t="s">
        <v>1188</v>
      </c>
      <c r="L1179" s="45" t="s">
        <v>1193</v>
      </c>
      <c r="M1179" s="20" t="s">
        <v>1194</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7" hidden="1" customHeight="1">
      <c r="B1180" s="38" t="s">
        <v>26</v>
      </c>
      <c r="C1180" s="38" t="s">
        <v>26</v>
      </c>
      <c r="D1180" s="38" t="s">
        <v>325</v>
      </c>
      <c r="E1180" s="38" t="s">
        <v>1272</v>
      </c>
      <c r="F1180" s="38" t="s">
        <v>335</v>
      </c>
      <c r="G1180" s="38" t="s">
        <v>352</v>
      </c>
      <c r="H1180" s="58" t="str">
        <f>Table1[[#This Row],[Tabela]]&amp;Table1[[#This Row],[Campo]]</f>
        <v>lt003_entityflg_nfrd_applcblty</v>
      </c>
      <c r="I1180" s="2" t="s">
        <v>612</v>
      </c>
      <c r="J1180" s="44">
        <f>VLOOKUP(Table1[[#This Row],[Status]],Auxiliar!$B$16:$C$24,2,0)</f>
        <v>1</v>
      </c>
      <c r="K1180" s="44" t="s">
        <v>1190</v>
      </c>
      <c r="L1180" s="45" t="s">
        <v>1193</v>
      </c>
      <c r="M1180" s="20" t="s">
        <v>1194</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4.950000000000003"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1187</v>
      </c>
      <c r="L1181" s="45" t="s">
        <v>1193</v>
      </c>
      <c r="M1181" s="20" t="s">
        <v>1194</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7"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1188</v>
      </c>
      <c r="L1182" s="45" t="s">
        <v>1193</v>
      </c>
      <c r="M1182" s="20" t="s">
        <v>1194</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7"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1190</v>
      </c>
      <c r="L1183" s="45" t="s">
        <v>1193</v>
      </c>
      <c r="M1183" s="20" t="s">
        <v>1194</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4.950000000000003"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1187</v>
      </c>
      <c r="L1184" s="45" t="s">
        <v>1193</v>
      </c>
      <c r="M1184" s="20" t="s">
        <v>1194</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7"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1188</v>
      </c>
      <c r="L1185" s="45" t="s">
        <v>1193</v>
      </c>
      <c r="M1185" s="20" t="s">
        <v>1194</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7"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1190</v>
      </c>
      <c r="L1186" s="45" t="s">
        <v>1193</v>
      </c>
      <c r="M1186" s="20" t="s">
        <v>1194</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4.950000000000003"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1187</v>
      </c>
      <c r="L1187" s="45" t="s">
        <v>1193</v>
      </c>
      <c r="M1187" s="20" t="s">
        <v>1194</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7"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1188</v>
      </c>
      <c r="L1188" s="45" t="s">
        <v>1193</v>
      </c>
      <c r="M1188" s="20" t="s">
        <v>1194</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7"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1190</v>
      </c>
      <c r="L1189" s="45" t="s">
        <v>1193</v>
      </c>
      <c r="M1189" s="20" t="s">
        <v>1194</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4.950000000000003" hidden="1" customHeight="1">
      <c r="B1190" s="40" t="s">
        <v>26</v>
      </c>
      <c r="C1190" s="40" t="s">
        <v>26</v>
      </c>
      <c r="D1190" s="35" t="s">
        <v>325</v>
      </c>
      <c r="E1190" s="110" t="s">
        <v>1272</v>
      </c>
      <c r="F1190" s="39" t="s">
        <v>335</v>
      </c>
      <c r="G1190" s="37" t="s">
        <v>356</v>
      </c>
      <c r="H1190" s="59" t="str">
        <f>Table1[[#This Row],[Tabela]]&amp;Table1[[#This Row],[Campo]]</f>
        <v>lt003_entityflg_excldd_eu_prs_algnd_bnchmrk</v>
      </c>
      <c r="I1190" s="2" t="s">
        <v>612</v>
      </c>
      <c r="J1190" s="44">
        <f>VLOOKUP(Table1[[#This Row],[Status]],Auxiliar!$B$16:$C$24,2,0)</f>
        <v>1</v>
      </c>
      <c r="K1190" s="44" t="s">
        <v>1187</v>
      </c>
      <c r="L1190" s="45" t="s">
        <v>1193</v>
      </c>
      <c r="M1190" s="20" t="s">
        <v>1194</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7" hidden="1" customHeight="1">
      <c r="B1191" s="38" t="s">
        <v>26</v>
      </c>
      <c r="C1191" s="38" t="s">
        <v>26</v>
      </c>
      <c r="D1191" s="38" t="s">
        <v>325</v>
      </c>
      <c r="E1191" s="38" t="s">
        <v>1272</v>
      </c>
      <c r="F1191" s="38" t="s">
        <v>335</v>
      </c>
      <c r="G1191" s="38" t="s">
        <v>356</v>
      </c>
      <c r="H1191" s="58" t="str">
        <f>Table1[[#This Row],[Tabela]]&amp;Table1[[#This Row],[Campo]]</f>
        <v>lt003_entityflg_excldd_eu_prs_algnd_bnchmrk</v>
      </c>
      <c r="I1191" s="2" t="s">
        <v>612</v>
      </c>
      <c r="J1191" s="44">
        <f>VLOOKUP(Table1[[#This Row],[Status]],Auxiliar!$B$16:$C$24,2,0)</f>
        <v>1</v>
      </c>
      <c r="K1191" s="44" t="s">
        <v>1188</v>
      </c>
      <c r="L1191" s="45" t="s">
        <v>1193</v>
      </c>
      <c r="M1191" s="20" t="s">
        <v>1194</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7" hidden="1" customHeight="1">
      <c r="B1192" s="38" t="s">
        <v>26</v>
      </c>
      <c r="C1192" s="38" t="s">
        <v>26</v>
      </c>
      <c r="D1192" s="38" t="s">
        <v>325</v>
      </c>
      <c r="E1192" s="38" t="s">
        <v>1272</v>
      </c>
      <c r="F1192" s="38" t="s">
        <v>335</v>
      </c>
      <c r="G1192" s="38" t="s">
        <v>356</v>
      </c>
      <c r="H1192" s="58" t="str">
        <f>Table1[[#This Row],[Tabela]]&amp;Table1[[#This Row],[Campo]]</f>
        <v>lt003_entityflg_excldd_eu_prs_algnd_bnchmrk</v>
      </c>
      <c r="I1192" s="2" t="s">
        <v>612</v>
      </c>
      <c r="J1192" s="44">
        <f>VLOOKUP(Table1[[#This Row],[Status]],Auxiliar!$B$16:$C$24,2,0)</f>
        <v>1</v>
      </c>
      <c r="K1192" s="44" t="s">
        <v>1190</v>
      </c>
      <c r="L1192" s="45" t="s">
        <v>1193</v>
      </c>
      <c r="M1192" s="20" t="s">
        <v>1194</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4.950000000000003" hidden="1" customHeight="1">
      <c r="B1193" s="40" t="s">
        <v>26</v>
      </c>
      <c r="C1193" s="40" t="s">
        <v>26</v>
      </c>
      <c r="D1193" s="35" t="s">
        <v>325</v>
      </c>
      <c r="E1193" s="39" t="s">
        <v>1272</v>
      </c>
      <c r="F1193" s="39" t="s">
        <v>335</v>
      </c>
      <c r="G1193" s="37" t="s">
        <v>357</v>
      </c>
      <c r="H1193" s="59" t="str">
        <f>Table1[[#This Row],[Tabela]]&amp;Table1[[#This Row],[Campo]]</f>
        <v>lt003_entityflg_act_physcl_rsk</v>
      </c>
      <c r="I1193" s="2" t="s">
        <v>613</v>
      </c>
      <c r="J1193" s="44">
        <f>VLOOKUP(Table1[[#This Row],[Status]],Auxiliar!$B$16:$C$24,2,0)</f>
        <v>4</v>
      </c>
      <c r="K1193" s="44" t="s">
        <v>1187</v>
      </c>
      <c r="L1193" s="45" t="s">
        <v>1193</v>
      </c>
      <c r="M1193" s="20" t="s">
        <v>1194</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7" hidden="1" customHeight="1">
      <c r="B1194" s="38" t="s">
        <v>26</v>
      </c>
      <c r="C1194" s="38" t="s">
        <v>26</v>
      </c>
      <c r="D1194" s="38" t="s">
        <v>325</v>
      </c>
      <c r="E1194" s="38" t="s">
        <v>1272</v>
      </c>
      <c r="F1194" s="38" t="s">
        <v>335</v>
      </c>
      <c r="G1194" s="38" t="s">
        <v>357</v>
      </c>
      <c r="H1194" s="58" t="str">
        <f>Table1[[#This Row],[Tabela]]&amp;Table1[[#This Row],[Campo]]</f>
        <v>lt003_entityflg_act_physcl_rsk</v>
      </c>
      <c r="I1194" s="2" t="s">
        <v>613</v>
      </c>
      <c r="J1194" s="44">
        <f>VLOOKUP(Table1[[#This Row],[Status]],Auxiliar!$B$16:$C$24,2,0)</f>
        <v>4</v>
      </c>
      <c r="K1194" s="44" t="s">
        <v>1188</v>
      </c>
      <c r="L1194" s="45" t="s">
        <v>1193</v>
      </c>
      <c r="M1194" s="20" t="s">
        <v>1194</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7" hidden="1" customHeight="1">
      <c r="B1195" s="38" t="s">
        <v>26</v>
      </c>
      <c r="C1195" s="38" t="s">
        <v>26</v>
      </c>
      <c r="D1195" s="38" t="s">
        <v>325</v>
      </c>
      <c r="E1195" s="38" t="s">
        <v>1272</v>
      </c>
      <c r="F1195" s="38" t="s">
        <v>335</v>
      </c>
      <c r="G1195" s="38" t="s">
        <v>357</v>
      </c>
      <c r="H1195" s="58" t="str">
        <f>Table1[[#This Row],[Tabela]]&amp;Table1[[#This Row],[Campo]]</f>
        <v>lt003_entityflg_act_physcl_rsk</v>
      </c>
      <c r="I1195" s="2" t="s">
        <v>613</v>
      </c>
      <c r="J1195" s="44">
        <f>VLOOKUP(Table1[[#This Row],[Status]],Auxiliar!$B$16:$C$24,2,0)</f>
        <v>4</v>
      </c>
      <c r="K1195" s="44" t="s">
        <v>1190</v>
      </c>
      <c r="L1195" s="45" t="s">
        <v>1193</v>
      </c>
      <c r="M1195" s="20" t="s">
        <v>1194</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4.950000000000003" hidden="1" customHeight="1">
      <c r="B1196" s="40" t="s">
        <v>26</v>
      </c>
      <c r="C1196" s="40" t="s">
        <v>26</v>
      </c>
      <c r="D1196" s="35" t="s">
        <v>325</v>
      </c>
      <c r="E1196" s="39" t="s">
        <v>1272</v>
      </c>
      <c r="F1196" s="39" t="s">
        <v>335</v>
      </c>
      <c r="G1196" s="37" t="s">
        <v>358</v>
      </c>
      <c r="H1196" s="59" t="str">
        <f>Table1[[#This Row],[Tabela]]&amp;Table1[[#This Row],[Campo]]</f>
        <v>lt003_entityflg_chrnc_physcl_rsk</v>
      </c>
      <c r="I1196" s="2" t="s">
        <v>613</v>
      </c>
      <c r="J1196" s="44">
        <f>VLOOKUP(Table1[[#This Row],[Status]],Auxiliar!$B$16:$C$24,2,0)</f>
        <v>4</v>
      </c>
      <c r="K1196" s="44" t="s">
        <v>1187</v>
      </c>
      <c r="L1196" s="45" t="s">
        <v>1193</v>
      </c>
      <c r="M1196" s="20" t="s">
        <v>1194</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7" hidden="1" customHeight="1">
      <c r="B1197" s="38" t="s">
        <v>26</v>
      </c>
      <c r="C1197" s="38" t="s">
        <v>26</v>
      </c>
      <c r="D1197" s="38" t="s">
        <v>325</v>
      </c>
      <c r="E1197" s="38" t="s">
        <v>1272</v>
      </c>
      <c r="F1197" s="38" t="s">
        <v>335</v>
      </c>
      <c r="G1197" s="38" t="s">
        <v>358</v>
      </c>
      <c r="H1197" s="58" t="str">
        <f>Table1[[#This Row],[Tabela]]&amp;Table1[[#This Row],[Campo]]</f>
        <v>lt003_entityflg_chrnc_physcl_rsk</v>
      </c>
      <c r="I1197" s="2" t="s">
        <v>613</v>
      </c>
      <c r="J1197" s="44">
        <f>VLOOKUP(Table1[[#This Row],[Status]],Auxiliar!$B$16:$C$24,2,0)</f>
        <v>4</v>
      </c>
      <c r="K1197" s="44" t="s">
        <v>1188</v>
      </c>
      <c r="L1197" s="45" t="s">
        <v>1193</v>
      </c>
      <c r="M1197" s="20" t="s">
        <v>1194</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7" hidden="1" customHeight="1">
      <c r="B1198" s="38" t="s">
        <v>26</v>
      </c>
      <c r="C1198" s="38" t="s">
        <v>26</v>
      </c>
      <c r="D1198" s="38" t="s">
        <v>325</v>
      </c>
      <c r="E1198" s="38" t="s">
        <v>1272</v>
      </c>
      <c r="F1198" s="38" t="s">
        <v>335</v>
      </c>
      <c r="G1198" s="38" t="s">
        <v>358</v>
      </c>
      <c r="H1198" s="58" t="str">
        <f>Table1[[#This Row],[Tabela]]&amp;Table1[[#This Row],[Campo]]</f>
        <v>lt003_entityflg_chrnc_physcl_rsk</v>
      </c>
      <c r="I1198" s="2" t="s">
        <v>613</v>
      </c>
      <c r="J1198" s="44">
        <f>VLOOKUP(Table1[[#This Row],[Status]],Auxiliar!$B$16:$C$24,2,0)</f>
        <v>4</v>
      </c>
      <c r="K1198" s="44" t="s">
        <v>1190</v>
      </c>
      <c r="L1198" s="45" t="s">
        <v>1193</v>
      </c>
      <c r="M1198" s="20" t="s">
        <v>1194</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7" hidden="1" customHeight="1">
      <c r="B1199" s="40" t="s">
        <v>26</v>
      </c>
      <c r="C1199" s="40" t="s">
        <v>26</v>
      </c>
      <c r="D1199" s="41" t="s">
        <v>1274</v>
      </c>
      <c r="E1199" s="110" t="s">
        <v>1275</v>
      </c>
      <c r="F1199" s="39" t="s">
        <v>335</v>
      </c>
      <c r="G1199" s="37" t="s">
        <v>359</v>
      </c>
      <c r="H1199" s="59" t="str">
        <f>Table1[[#This Row],[Tabela]]&amp;Table1[[#This Row],[Campo]]</f>
        <v>lt003_entitypst_cd</v>
      </c>
      <c r="I1199" s="2" t="s">
        <v>612</v>
      </c>
      <c r="J1199" s="44">
        <f>VLOOKUP(Table1[[#This Row],[Status]],Auxiliar!$B$16:$C$24,2,0)</f>
        <v>1</v>
      </c>
      <c r="K1199" s="44" t="s">
        <v>1187</v>
      </c>
      <c r="L1199" s="45" t="s">
        <v>1193</v>
      </c>
      <c r="M1199" s="20" t="s">
        <v>1194</v>
      </c>
      <c r="N1199" s="47">
        <v>45604</v>
      </c>
      <c r="O1199" s="20">
        <f>INDEX(Auxiliar!$D$5:$F$13,MATCH(Table1[[#This Row],[Tipologia_Testes]],Auxiliar!$B$5:$B$13,0),MATCH(Table1[[#This Row],[Complexidade]],Auxiliar!$D$4:$F$4,0))</f>
        <v>2</v>
      </c>
      <c r="P1199" s="42" t="s">
        <v>1276</v>
      </c>
      <c r="Q1199" s="113"/>
      <c r="R1199" s="151">
        <v>45589</v>
      </c>
      <c r="S1199" s="151"/>
      <c r="T1199" s="151">
        <v>45589</v>
      </c>
      <c r="U1199" s="151">
        <v>45596</v>
      </c>
      <c r="V1199" s="151">
        <v>45596</v>
      </c>
      <c r="W1199" s="2">
        <f>VLOOKUP(Table1[[#This Row],[Status]],Auxiliar!$B$16:$D$24,3,0)*Table1[[#This Row],[Estimação (horas)]]</f>
        <v>2</v>
      </c>
      <c r="X1199" s="113"/>
    </row>
    <row r="1200" spans="2:24" ht="17.7" hidden="1" customHeight="1">
      <c r="B1200" s="38" t="s">
        <v>26</v>
      </c>
      <c r="C1200" s="38" t="s">
        <v>26</v>
      </c>
      <c r="D1200" s="38" t="s">
        <v>1274</v>
      </c>
      <c r="E1200" s="38" t="s">
        <v>1275</v>
      </c>
      <c r="F1200" s="38" t="s">
        <v>335</v>
      </c>
      <c r="G1200" s="38" t="s">
        <v>359</v>
      </c>
      <c r="H1200" s="58" t="str">
        <f>Table1[[#This Row],[Tabela]]&amp;Table1[[#This Row],[Campo]]</f>
        <v>lt003_entitypst_cd</v>
      </c>
      <c r="I1200" s="2" t="s">
        <v>612</v>
      </c>
      <c r="J1200" s="44">
        <f>VLOOKUP(Table1[[#This Row],[Status]],Auxiliar!$B$16:$C$24,2,0)</f>
        <v>1</v>
      </c>
      <c r="K1200" s="44" t="s">
        <v>1188</v>
      </c>
      <c r="L1200" s="45" t="s">
        <v>1193</v>
      </c>
      <c r="M1200" s="20" t="s">
        <v>1194</v>
      </c>
      <c r="N1200" s="47">
        <v>45604</v>
      </c>
      <c r="O1200" s="20">
        <f>INDEX(Auxiliar!$D$5:$F$13,MATCH(Table1[[#This Row],[Tipologia_Testes]],Auxiliar!$B$5:$B$13,0),MATCH(Table1[[#This Row],[Complexidade]],Auxiliar!$D$4:$F$4,0))</f>
        <v>2</v>
      </c>
      <c r="P1200" s="42" t="s">
        <v>1276</v>
      </c>
      <c r="Q1200" s="113"/>
      <c r="R1200" s="151">
        <v>45589</v>
      </c>
      <c r="S1200" s="151"/>
      <c r="T1200" s="151">
        <v>45589</v>
      </c>
      <c r="U1200" s="151">
        <v>45596</v>
      </c>
      <c r="V1200" s="151">
        <v>45596</v>
      </c>
      <c r="W1200" s="2">
        <f>VLOOKUP(Table1[[#This Row],[Status]],Auxiliar!$B$16:$D$24,3,0)*Table1[[#This Row],[Estimação (horas)]]</f>
        <v>2</v>
      </c>
      <c r="X1200" s="113"/>
    </row>
    <row r="1201" spans="2:24" ht="17.7" hidden="1" customHeight="1">
      <c r="B1201" s="38" t="s">
        <v>26</v>
      </c>
      <c r="C1201" s="38" t="s">
        <v>26</v>
      </c>
      <c r="D1201" s="38" t="s">
        <v>1274</v>
      </c>
      <c r="E1201" s="38" t="s">
        <v>1275</v>
      </c>
      <c r="F1201" s="38" t="s">
        <v>335</v>
      </c>
      <c r="G1201" s="38" t="s">
        <v>359</v>
      </c>
      <c r="H1201" s="58" t="str">
        <f>Table1[[#This Row],[Tabela]]&amp;Table1[[#This Row],[Campo]]</f>
        <v>lt003_entitypst_cd</v>
      </c>
      <c r="I1201" s="2" t="s">
        <v>612</v>
      </c>
      <c r="J1201" s="44">
        <f>VLOOKUP(Table1[[#This Row],[Status]],Auxiliar!$B$16:$C$24,2,0)</f>
        <v>1</v>
      </c>
      <c r="K1201" s="44" t="s">
        <v>1190</v>
      </c>
      <c r="L1201" s="45" t="s">
        <v>1193</v>
      </c>
      <c r="M1201" s="20" t="s">
        <v>1194</v>
      </c>
      <c r="N1201" s="47">
        <v>45604</v>
      </c>
      <c r="O1201" s="20">
        <f>INDEX(Auxiliar!$D$5:$F$13,MATCH(Table1[[#This Row],[Tipologia_Testes]],Auxiliar!$B$5:$B$13,0),MATCH(Table1[[#This Row],[Complexidade]],Auxiliar!$D$4:$F$4,0))</f>
        <v>0.1</v>
      </c>
      <c r="P1201" s="42" t="s">
        <v>1276</v>
      </c>
      <c r="Q1201" s="113"/>
      <c r="R1201" s="151">
        <v>45589</v>
      </c>
      <c r="S1201" s="151"/>
      <c r="T1201" s="151">
        <v>45589</v>
      </c>
      <c r="U1201" s="151">
        <v>45596</v>
      </c>
      <c r="V1201" s="151">
        <v>45596</v>
      </c>
      <c r="W1201" s="2">
        <f>VLOOKUP(Table1[[#This Row],[Status]],Auxiliar!$B$16:$D$24,3,0)*Table1[[#This Row],[Estimação (horas)]]</f>
        <v>0.1</v>
      </c>
      <c r="X1201" s="113"/>
    </row>
    <row r="1202" spans="2:24" ht="17.7"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1187</v>
      </c>
      <c r="L1202" s="45" t="s">
        <v>1193</v>
      </c>
      <c r="M1202" s="20" t="s">
        <v>1194</v>
      </c>
      <c r="N1202" s="47">
        <v>45649</v>
      </c>
      <c r="O1202" s="20">
        <f>INDEX(Auxiliar!$D$5:$F$13,MATCH(Table1[[#This Row],[Tipologia_Testes]],Auxiliar!$B$5:$B$13,0),MATCH(Table1[[#This Row],[Complexidade]],Auxiliar!$D$4:$F$4,0))</f>
        <v>2</v>
      </c>
      <c r="P1202" s="42" t="s">
        <v>1273</v>
      </c>
      <c r="Q1202" s="113"/>
      <c r="R1202" s="151">
        <v>45583</v>
      </c>
      <c r="S1202" s="151"/>
      <c r="T1202" s="151">
        <v>45583</v>
      </c>
      <c r="U1202" s="151">
        <v>45611</v>
      </c>
      <c r="V1202" s="151">
        <v>45644</v>
      </c>
      <c r="W1202" s="2">
        <f>VLOOKUP(Table1[[#This Row],[Status]],Auxiliar!$B$16:$D$24,3,0)*Table1[[#This Row],[Estimação (horas)]]</f>
        <v>0.5</v>
      </c>
      <c r="X1202" s="113"/>
    </row>
    <row r="1203" spans="2:24" ht="17.7"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1188</v>
      </c>
      <c r="L1203" s="45" t="s">
        <v>1193</v>
      </c>
      <c r="M1203" s="20" t="s">
        <v>1194</v>
      </c>
      <c r="N1203" s="47">
        <v>45649</v>
      </c>
      <c r="O1203" s="20">
        <f>INDEX(Auxiliar!$D$5:$F$13,MATCH(Table1[[#This Row],[Tipologia_Testes]],Auxiliar!$B$5:$B$13,0),MATCH(Table1[[#This Row],[Complexidade]],Auxiliar!$D$4:$F$4,0))</f>
        <v>2</v>
      </c>
      <c r="P1203" s="42" t="s">
        <v>1273</v>
      </c>
      <c r="Q1203" s="113"/>
      <c r="R1203" s="151">
        <v>45583</v>
      </c>
      <c r="S1203" s="151"/>
      <c r="T1203" s="151">
        <v>45583</v>
      </c>
      <c r="U1203" s="151">
        <v>45611</v>
      </c>
      <c r="V1203" s="151">
        <v>45644</v>
      </c>
      <c r="W1203" s="2">
        <f>VLOOKUP(Table1[[#This Row],[Status]],Auxiliar!$B$16:$D$24,3,0)*Table1[[#This Row],[Estimação (horas)]]</f>
        <v>0.5</v>
      </c>
      <c r="X1203" s="113"/>
    </row>
    <row r="1204" spans="2:24" ht="17.7"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1190</v>
      </c>
      <c r="L1204" s="45" t="s">
        <v>1193</v>
      </c>
      <c r="M1204" s="20" t="s">
        <v>1194</v>
      </c>
      <c r="N1204" s="47">
        <v>45649</v>
      </c>
      <c r="O1204" s="20">
        <f>INDEX(Auxiliar!$D$5:$F$13,MATCH(Table1[[#This Row],[Tipologia_Testes]],Auxiliar!$B$5:$B$13,0),MATCH(Table1[[#This Row],[Complexidade]],Auxiliar!$D$4:$F$4,0))</f>
        <v>0.1</v>
      </c>
      <c r="P1204" s="42" t="s">
        <v>1273</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4.950000000000003" hidden="1" customHeight="1">
      <c r="B1205" s="40" t="s">
        <v>26</v>
      </c>
      <c r="C1205" s="40" t="s">
        <v>26</v>
      </c>
      <c r="D1205" s="36" t="s">
        <v>1277</v>
      </c>
      <c r="E1205" s="110" t="s">
        <v>1278</v>
      </c>
      <c r="F1205" s="39" t="s">
        <v>335</v>
      </c>
      <c r="G1205" s="37" t="s">
        <v>361</v>
      </c>
      <c r="H1205" s="59" t="str">
        <f>Table1[[#This Row],[Tabela]]&amp;Table1[[#This Row],[Campo]]</f>
        <v>lt003_entityttl_lblty</v>
      </c>
      <c r="I1205" s="2" t="s">
        <v>612</v>
      </c>
      <c r="J1205" s="44">
        <f>VLOOKUP(Table1[[#This Row],[Status]],Auxiliar!$B$16:$C$24,2,0)</f>
        <v>1</v>
      </c>
      <c r="K1205" s="44" t="s">
        <v>1187</v>
      </c>
      <c r="L1205" s="45" t="s">
        <v>1193</v>
      </c>
      <c r="M1205" s="20" t="s">
        <v>1194</v>
      </c>
      <c r="N1205" s="47">
        <v>45649</v>
      </c>
      <c r="O1205" s="20">
        <f>INDEX(Auxiliar!$D$5:$F$13,MATCH(Table1[[#This Row],[Tipologia_Testes]],Auxiliar!$B$5:$B$13,0),MATCH(Table1[[#This Row],[Complexidade]],Auxiliar!$D$4:$F$4,0))</f>
        <v>2</v>
      </c>
      <c r="P1205" s="42" t="s">
        <v>1279</v>
      </c>
      <c r="Q1205" s="113"/>
      <c r="R1205" s="151">
        <v>45593</v>
      </c>
      <c r="S1205" s="151"/>
      <c r="T1205" s="151">
        <v>45593</v>
      </c>
      <c r="U1205" s="151">
        <v>45624</v>
      </c>
      <c r="V1205" s="151">
        <v>45644</v>
      </c>
      <c r="W1205" s="2">
        <f>VLOOKUP(Table1[[#This Row],[Status]],Auxiliar!$B$16:$D$24,3,0)*Table1[[#This Row],[Estimação (horas)]]</f>
        <v>2</v>
      </c>
      <c r="X1205" s="113"/>
    </row>
    <row r="1206" spans="2:24" ht="17.7" hidden="1" customHeight="1">
      <c r="B1206" s="38" t="s">
        <v>26</v>
      </c>
      <c r="C1206" s="38" t="s">
        <v>26</v>
      </c>
      <c r="D1206" s="38" t="s">
        <v>1277</v>
      </c>
      <c r="E1206" s="38" t="s">
        <v>1278</v>
      </c>
      <c r="F1206" s="38" t="s">
        <v>335</v>
      </c>
      <c r="G1206" s="38" t="s">
        <v>361</v>
      </c>
      <c r="H1206" s="58" t="str">
        <f>Table1[[#This Row],[Tabela]]&amp;Table1[[#This Row],[Campo]]</f>
        <v>lt003_entityttl_lblty</v>
      </c>
      <c r="I1206" s="2" t="s">
        <v>612</v>
      </c>
      <c r="J1206" s="44">
        <f>VLOOKUP(Table1[[#This Row],[Status]],Auxiliar!$B$16:$C$24,2,0)</f>
        <v>1</v>
      </c>
      <c r="K1206" s="44" t="s">
        <v>1188</v>
      </c>
      <c r="L1206" s="45" t="s">
        <v>1193</v>
      </c>
      <c r="M1206" s="20" t="s">
        <v>1194</v>
      </c>
      <c r="N1206" s="47">
        <v>45649</v>
      </c>
      <c r="O1206" s="20">
        <f>INDEX(Auxiliar!$D$5:$F$13,MATCH(Table1[[#This Row],[Tipologia_Testes]],Auxiliar!$B$5:$B$13,0),MATCH(Table1[[#This Row],[Complexidade]],Auxiliar!$D$4:$F$4,0))</f>
        <v>2</v>
      </c>
      <c r="P1206" s="42" t="s">
        <v>1279</v>
      </c>
      <c r="Q1206" s="113"/>
      <c r="R1206" s="151">
        <v>45593</v>
      </c>
      <c r="S1206" s="151"/>
      <c r="T1206" s="151">
        <v>45593</v>
      </c>
      <c r="U1206" s="151">
        <v>45624</v>
      </c>
      <c r="V1206" s="151">
        <v>45644</v>
      </c>
      <c r="W1206" s="2">
        <f>VLOOKUP(Table1[[#This Row],[Status]],Auxiliar!$B$16:$D$24,3,0)*Table1[[#This Row],[Estimação (horas)]]</f>
        <v>2</v>
      </c>
      <c r="X1206" s="113"/>
    </row>
    <row r="1207" spans="2:24" ht="17.7" hidden="1" customHeight="1">
      <c r="B1207" s="38" t="s">
        <v>26</v>
      </c>
      <c r="C1207" s="38" t="s">
        <v>26</v>
      </c>
      <c r="D1207" s="38" t="s">
        <v>1277</v>
      </c>
      <c r="E1207" s="38" t="s">
        <v>1278</v>
      </c>
      <c r="F1207" s="38" t="s">
        <v>335</v>
      </c>
      <c r="G1207" s="38" t="s">
        <v>361</v>
      </c>
      <c r="H1207" s="58" t="str">
        <f>Table1[[#This Row],[Tabela]]&amp;Table1[[#This Row],[Campo]]</f>
        <v>lt003_entityttl_lblty</v>
      </c>
      <c r="I1207" s="2" t="s">
        <v>612</v>
      </c>
      <c r="J1207" s="44">
        <f>VLOOKUP(Table1[[#This Row],[Status]],Auxiliar!$B$16:$C$24,2,0)</f>
        <v>1</v>
      </c>
      <c r="K1207" s="44" t="s">
        <v>1190</v>
      </c>
      <c r="L1207" s="45" t="s">
        <v>1193</v>
      </c>
      <c r="M1207" s="20" t="s">
        <v>1194</v>
      </c>
      <c r="N1207" s="47">
        <v>45649</v>
      </c>
      <c r="O1207" s="20">
        <f>INDEX(Auxiliar!$D$5:$F$13,MATCH(Table1[[#This Row],[Tipologia_Testes]],Auxiliar!$B$5:$B$13,0),MATCH(Table1[[#This Row],[Complexidade]],Auxiliar!$D$4:$F$4,0))</f>
        <v>0.1</v>
      </c>
      <c r="P1207" s="42" t="s">
        <v>1279</v>
      </c>
      <c r="Q1207" s="113"/>
      <c r="R1207" s="151">
        <v>45593</v>
      </c>
      <c r="S1207" s="151"/>
      <c r="T1207" s="151">
        <v>45593</v>
      </c>
      <c r="U1207" s="151">
        <v>45624</v>
      </c>
      <c r="V1207" s="151">
        <v>45644</v>
      </c>
      <c r="W1207" s="2">
        <f>VLOOKUP(Table1[[#This Row],[Status]],Auxiliar!$B$16:$D$24,3,0)*Table1[[#This Row],[Estimação (horas)]]</f>
        <v>0.1</v>
      </c>
      <c r="X1207" s="113"/>
    </row>
    <row r="1208" spans="2:24" ht="34.950000000000003" hidden="1" customHeight="1">
      <c r="B1208" s="40" t="s">
        <v>26</v>
      </c>
      <c r="C1208" s="40" t="s">
        <v>26</v>
      </c>
      <c r="D1208" s="35" t="s">
        <v>1280</v>
      </c>
      <c r="E1208" s="110" t="s">
        <v>1281</v>
      </c>
      <c r="F1208" s="39" t="s">
        <v>335</v>
      </c>
      <c r="G1208" s="37" t="s">
        <v>238</v>
      </c>
      <c r="H1208" s="59" t="str">
        <f>Table1[[#This Row],[Tabela]]&amp;Table1[[#This Row],[Campo]]</f>
        <v>lt003_entityisin</v>
      </c>
      <c r="I1208" s="2" t="s">
        <v>612</v>
      </c>
      <c r="J1208" s="44">
        <f>VLOOKUP(Table1[[#This Row],[Status]],Auxiliar!$B$16:$C$24,2,0)</f>
        <v>1</v>
      </c>
      <c r="K1208" s="44" t="s">
        <v>1187</v>
      </c>
      <c r="L1208" s="45" t="s">
        <v>1193</v>
      </c>
      <c r="M1208" s="20" t="s">
        <v>1194</v>
      </c>
      <c r="N1208" s="47">
        <v>45632</v>
      </c>
      <c r="O1208" s="20">
        <f>INDEX(Auxiliar!$D$5:$F$13,MATCH(Table1[[#This Row],[Tipologia_Testes]],Auxiliar!$B$5:$B$13,0),MATCH(Table1[[#This Row],[Complexidade]],Auxiliar!$D$4:$F$4,0))</f>
        <v>2</v>
      </c>
      <c r="P1208" s="42" t="s">
        <v>655</v>
      </c>
      <c r="Q1208" s="113"/>
      <c r="R1208" s="151">
        <v>45589</v>
      </c>
      <c r="S1208" s="151"/>
      <c r="T1208" s="151">
        <v>45589</v>
      </c>
      <c r="U1208" s="151"/>
      <c r="V1208" s="151">
        <v>45611</v>
      </c>
      <c r="W1208" s="2">
        <f>VLOOKUP(Table1[[#This Row],[Status]],Auxiliar!$B$16:$D$24,3,0)*Table1[[#This Row],[Estimação (horas)]]</f>
        <v>2</v>
      </c>
      <c r="X1208" s="113"/>
    </row>
    <row r="1209" spans="2:24" ht="17.7" hidden="1" customHeight="1">
      <c r="B1209" s="38" t="s">
        <v>26</v>
      </c>
      <c r="C1209" s="38" t="s">
        <v>26</v>
      </c>
      <c r="D1209" s="38" t="s">
        <v>1280</v>
      </c>
      <c r="E1209" s="38" t="s">
        <v>1281</v>
      </c>
      <c r="F1209" s="38" t="s">
        <v>335</v>
      </c>
      <c r="G1209" s="38" t="s">
        <v>238</v>
      </c>
      <c r="H1209" s="58" t="str">
        <f>Table1[[#This Row],[Tabela]]&amp;Table1[[#This Row],[Campo]]</f>
        <v>lt003_entityisin</v>
      </c>
      <c r="I1209" s="2" t="s">
        <v>612</v>
      </c>
      <c r="J1209" s="44">
        <f>VLOOKUP(Table1[[#This Row],[Status]],Auxiliar!$B$16:$C$24,2,0)</f>
        <v>1</v>
      </c>
      <c r="K1209" s="44" t="s">
        <v>1188</v>
      </c>
      <c r="L1209" s="45" t="s">
        <v>1193</v>
      </c>
      <c r="M1209" s="20" t="s">
        <v>1194</v>
      </c>
      <c r="N1209" s="47">
        <v>45632</v>
      </c>
      <c r="O1209" s="20">
        <f>INDEX(Auxiliar!$D$5:$F$13,MATCH(Table1[[#This Row],[Tipologia_Testes]],Auxiliar!$B$5:$B$13,0),MATCH(Table1[[#This Row],[Complexidade]],Auxiliar!$D$4:$F$4,0))</f>
        <v>2</v>
      </c>
      <c r="P1209" s="42" t="s">
        <v>655</v>
      </c>
      <c r="Q1209" s="113"/>
      <c r="R1209" s="151">
        <v>45589</v>
      </c>
      <c r="S1209" s="151"/>
      <c r="T1209" s="151">
        <v>45589</v>
      </c>
      <c r="U1209" s="151"/>
      <c r="V1209" s="151">
        <v>45611</v>
      </c>
      <c r="W1209" s="2">
        <f>VLOOKUP(Table1[[#This Row],[Status]],Auxiliar!$B$16:$D$24,3,0)*Table1[[#This Row],[Estimação (horas)]]</f>
        <v>2</v>
      </c>
      <c r="X1209" s="113"/>
    </row>
    <row r="1210" spans="2:24" ht="17.7" hidden="1" customHeight="1">
      <c r="B1210" s="38" t="s">
        <v>26</v>
      </c>
      <c r="C1210" s="38" t="s">
        <v>26</v>
      </c>
      <c r="D1210" s="38" t="s">
        <v>1280</v>
      </c>
      <c r="E1210" s="38" t="s">
        <v>1281</v>
      </c>
      <c r="F1210" s="38" t="s">
        <v>335</v>
      </c>
      <c r="G1210" s="38" t="s">
        <v>238</v>
      </c>
      <c r="H1210" s="58" t="str">
        <f>Table1[[#This Row],[Tabela]]&amp;Table1[[#This Row],[Campo]]</f>
        <v>lt003_entityisin</v>
      </c>
      <c r="I1210" s="2" t="s">
        <v>612</v>
      </c>
      <c r="J1210" s="44">
        <f>VLOOKUP(Table1[[#This Row],[Status]],Auxiliar!$B$16:$C$24,2,0)</f>
        <v>1</v>
      </c>
      <c r="K1210" s="44" t="s">
        <v>1190</v>
      </c>
      <c r="L1210" s="45" t="s">
        <v>1193</v>
      </c>
      <c r="M1210" s="20" t="s">
        <v>1194</v>
      </c>
      <c r="N1210" s="47">
        <v>45632</v>
      </c>
      <c r="O1210" s="20">
        <f>INDEX(Auxiliar!$D$5:$F$13,MATCH(Table1[[#This Row],[Tipologia_Testes]],Auxiliar!$B$5:$B$13,0),MATCH(Table1[[#This Row],[Complexidade]],Auxiliar!$D$4:$F$4,0))</f>
        <v>0.1</v>
      </c>
      <c r="P1210" s="42" t="s">
        <v>655</v>
      </c>
      <c r="Q1210" s="113"/>
      <c r="R1210" s="151">
        <v>45589</v>
      </c>
      <c r="S1210" s="151"/>
      <c r="T1210" s="151">
        <v>45589</v>
      </c>
      <c r="U1210" s="151"/>
      <c r="V1210" s="151">
        <v>45611</v>
      </c>
      <c r="W1210" s="2">
        <f>VLOOKUP(Table1[[#This Row],[Status]],Auxiliar!$B$16:$D$24,3,0)*Table1[[#This Row],[Estimação (horas)]]</f>
        <v>0.1</v>
      </c>
      <c r="X1210" s="113"/>
    </row>
    <row r="1211" spans="2:24" ht="34.950000000000003" hidden="1" customHeight="1">
      <c r="B1211" s="40" t="s">
        <v>26</v>
      </c>
      <c r="C1211" s="40" t="s">
        <v>26</v>
      </c>
      <c r="D1211" s="35" t="s">
        <v>1282</v>
      </c>
      <c r="E1211" s="110" t="s">
        <v>1283</v>
      </c>
      <c r="F1211" s="39" t="s">
        <v>335</v>
      </c>
      <c r="G1211" s="37" t="s">
        <v>362</v>
      </c>
      <c r="H1211" s="59" t="str">
        <f>Table1[[#This Row],[Tabela]]&amp;Table1[[#This Row],[Campo]]</f>
        <v>lt003_entitygrp_annl_trnvr_le</v>
      </c>
      <c r="I1211" s="2" t="s">
        <v>612</v>
      </c>
      <c r="J1211" s="44">
        <f>VLOOKUP(Table1[[#This Row],[Status]],Auxiliar!$B$16:$C$24,2,0)</f>
        <v>1</v>
      </c>
      <c r="K1211" s="44" t="s">
        <v>1187</v>
      </c>
      <c r="L1211" s="45" t="s">
        <v>1193</v>
      </c>
      <c r="M1211" s="20" t="s">
        <v>1194</v>
      </c>
      <c r="N1211" s="47">
        <v>45632</v>
      </c>
      <c r="O1211" s="20">
        <f>INDEX(Auxiliar!$D$5:$F$13,MATCH(Table1[[#This Row],[Tipologia_Testes]],Auxiliar!$B$5:$B$13,0),MATCH(Table1[[#This Row],[Complexidade]],Auxiliar!$D$4:$F$4,0))</f>
        <v>2</v>
      </c>
      <c r="P1211" s="42" t="s">
        <v>1279</v>
      </c>
      <c r="Q1211" s="113"/>
      <c r="R1211" s="151">
        <v>45593</v>
      </c>
      <c r="S1211" s="151"/>
      <c r="T1211" s="151">
        <v>45593</v>
      </c>
      <c r="U1211" s="151">
        <v>45611</v>
      </c>
      <c r="V1211" s="151">
        <v>45611</v>
      </c>
      <c r="W1211" s="2">
        <f>VLOOKUP(Table1[[#This Row],[Status]],Auxiliar!$B$16:$D$24,3,0)*Table1[[#This Row],[Estimação (horas)]]</f>
        <v>2</v>
      </c>
      <c r="X1211" s="113"/>
    </row>
    <row r="1212" spans="2:24" ht="17.7" hidden="1" customHeight="1">
      <c r="B1212" s="38" t="s">
        <v>26</v>
      </c>
      <c r="C1212" s="38" t="s">
        <v>26</v>
      </c>
      <c r="D1212" s="38" t="s">
        <v>1282</v>
      </c>
      <c r="E1212" s="38" t="s">
        <v>1283</v>
      </c>
      <c r="F1212" s="38" t="s">
        <v>335</v>
      </c>
      <c r="G1212" s="38" t="s">
        <v>362</v>
      </c>
      <c r="H1212" s="58" t="str">
        <f>Table1[[#This Row],[Tabela]]&amp;Table1[[#This Row],[Campo]]</f>
        <v>lt003_entitygrp_annl_trnvr_le</v>
      </c>
      <c r="I1212" s="2" t="s">
        <v>612</v>
      </c>
      <c r="J1212" s="44">
        <f>VLOOKUP(Table1[[#This Row],[Status]],Auxiliar!$B$16:$C$24,2,0)</f>
        <v>1</v>
      </c>
      <c r="K1212" s="44" t="s">
        <v>1188</v>
      </c>
      <c r="L1212" s="45" t="s">
        <v>1193</v>
      </c>
      <c r="M1212" s="20" t="s">
        <v>1194</v>
      </c>
      <c r="N1212" s="47">
        <v>45632</v>
      </c>
      <c r="O1212" s="20">
        <f>INDEX(Auxiliar!$D$5:$F$13,MATCH(Table1[[#This Row],[Tipologia_Testes]],Auxiliar!$B$5:$B$13,0),MATCH(Table1[[#This Row],[Complexidade]],Auxiliar!$D$4:$F$4,0))</f>
        <v>2</v>
      </c>
      <c r="P1212" s="42" t="s">
        <v>1279</v>
      </c>
      <c r="Q1212" s="113"/>
      <c r="R1212" s="151">
        <v>45593</v>
      </c>
      <c r="S1212" s="151"/>
      <c r="T1212" s="151">
        <v>45593</v>
      </c>
      <c r="U1212" s="151">
        <v>45611</v>
      </c>
      <c r="V1212" s="151">
        <v>45611</v>
      </c>
      <c r="W1212" s="2">
        <f>VLOOKUP(Table1[[#This Row],[Status]],Auxiliar!$B$16:$D$24,3,0)*Table1[[#This Row],[Estimação (horas)]]</f>
        <v>2</v>
      </c>
      <c r="X1212" s="113"/>
    </row>
    <row r="1213" spans="2:24" ht="17.7" hidden="1" customHeight="1">
      <c r="B1213" s="38" t="s">
        <v>26</v>
      </c>
      <c r="C1213" s="38" t="s">
        <v>26</v>
      </c>
      <c r="D1213" s="38" t="s">
        <v>1282</v>
      </c>
      <c r="E1213" s="38" t="s">
        <v>1283</v>
      </c>
      <c r="F1213" s="38" t="s">
        <v>335</v>
      </c>
      <c r="G1213" s="38" t="s">
        <v>362</v>
      </c>
      <c r="H1213" s="58" t="str">
        <f>Table1[[#This Row],[Tabela]]&amp;Table1[[#This Row],[Campo]]</f>
        <v>lt003_entitygrp_annl_trnvr_le</v>
      </c>
      <c r="I1213" s="2" t="s">
        <v>612</v>
      </c>
      <c r="J1213" s="44">
        <f>VLOOKUP(Table1[[#This Row],[Status]],Auxiliar!$B$16:$C$24,2,0)</f>
        <v>1</v>
      </c>
      <c r="K1213" s="44" t="s">
        <v>1190</v>
      </c>
      <c r="L1213" s="45" t="s">
        <v>1193</v>
      </c>
      <c r="M1213" s="20" t="s">
        <v>1194</v>
      </c>
      <c r="N1213" s="47">
        <v>45632</v>
      </c>
      <c r="O1213" s="20">
        <f>INDEX(Auxiliar!$D$5:$F$13,MATCH(Table1[[#This Row],[Tipologia_Testes]],Auxiliar!$B$5:$B$13,0),MATCH(Table1[[#This Row],[Complexidade]],Auxiliar!$D$4:$F$4,0))</f>
        <v>0.1</v>
      </c>
      <c r="P1213" s="42" t="s">
        <v>1279</v>
      </c>
      <c r="Q1213" s="113"/>
      <c r="R1213" s="151">
        <v>45593</v>
      </c>
      <c r="S1213" s="151"/>
      <c r="T1213" s="151">
        <v>45593</v>
      </c>
      <c r="U1213" s="151">
        <v>45611</v>
      </c>
      <c r="V1213" s="151">
        <v>45611</v>
      </c>
      <c r="W1213" s="2">
        <f>VLOOKUP(Table1[[#This Row],[Status]],Auxiliar!$B$16:$D$24,3,0)*Table1[[#This Row],[Estimação (horas)]]</f>
        <v>0.1</v>
      </c>
      <c r="X1213" s="113"/>
    </row>
    <row r="1214" spans="2:24" ht="34.950000000000003" hidden="1" customHeight="1">
      <c r="B1214" s="40" t="s">
        <v>26</v>
      </c>
      <c r="C1214" s="40" t="s">
        <v>26</v>
      </c>
      <c r="D1214" s="35" t="s">
        <v>1284</v>
      </c>
      <c r="E1214" s="110" t="s">
        <v>1278</v>
      </c>
      <c r="F1214" s="39" t="s">
        <v>335</v>
      </c>
      <c r="G1214" s="37" t="s">
        <v>363</v>
      </c>
      <c r="H1214" s="59" t="str">
        <f>Table1[[#This Row],[Tabela]]&amp;Table1[[#This Row],[Campo]]</f>
        <v>lt003_entitygrp_ttl_lblty</v>
      </c>
      <c r="I1214" s="2" t="s">
        <v>612</v>
      </c>
      <c r="J1214" s="44">
        <f>VLOOKUP(Table1[[#This Row],[Status]],Auxiliar!$B$16:$C$24,2,0)</f>
        <v>1</v>
      </c>
      <c r="K1214" s="44" t="s">
        <v>1187</v>
      </c>
      <c r="L1214" s="45" t="s">
        <v>1193</v>
      </c>
      <c r="M1214" s="20" t="s">
        <v>1194</v>
      </c>
      <c r="N1214" s="47">
        <v>45649</v>
      </c>
      <c r="O1214" s="20">
        <f>INDEX(Auxiliar!$D$5:$F$13,MATCH(Table1[[#This Row],[Tipologia_Testes]],Auxiliar!$B$5:$B$13,0),MATCH(Table1[[#This Row],[Complexidade]],Auxiliar!$D$4:$F$4,0))</f>
        <v>2</v>
      </c>
      <c r="P1214" s="42" t="s">
        <v>1279</v>
      </c>
      <c r="Q1214" s="113"/>
      <c r="R1214" s="151">
        <v>45593</v>
      </c>
      <c r="S1214" s="151"/>
      <c r="T1214" s="151">
        <v>45593</v>
      </c>
      <c r="U1214" s="151">
        <v>45611</v>
      </c>
      <c r="V1214" s="151">
        <v>45644</v>
      </c>
      <c r="W1214" s="2">
        <f>VLOOKUP(Table1[[#This Row],[Status]],Auxiliar!$B$16:$D$24,3,0)*Table1[[#This Row],[Estimação (horas)]]</f>
        <v>2</v>
      </c>
      <c r="X1214" s="113"/>
    </row>
    <row r="1215" spans="2:24" ht="17.7" hidden="1" customHeight="1">
      <c r="B1215" s="38" t="s">
        <v>26</v>
      </c>
      <c r="C1215" s="38" t="s">
        <v>26</v>
      </c>
      <c r="D1215" s="38" t="s">
        <v>1284</v>
      </c>
      <c r="E1215" s="38" t="s">
        <v>1278</v>
      </c>
      <c r="F1215" s="38" t="s">
        <v>335</v>
      </c>
      <c r="G1215" s="38" t="s">
        <v>363</v>
      </c>
      <c r="H1215" s="58" t="str">
        <f>Table1[[#This Row],[Tabela]]&amp;Table1[[#This Row],[Campo]]</f>
        <v>lt003_entitygrp_ttl_lblty</v>
      </c>
      <c r="I1215" s="2" t="s">
        <v>612</v>
      </c>
      <c r="J1215" s="44">
        <f>VLOOKUP(Table1[[#This Row],[Status]],Auxiliar!$B$16:$C$24,2,0)</f>
        <v>1</v>
      </c>
      <c r="K1215" s="44" t="s">
        <v>1188</v>
      </c>
      <c r="L1215" s="45" t="s">
        <v>1193</v>
      </c>
      <c r="M1215" s="20" t="s">
        <v>1194</v>
      </c>
      <c r="N1215" s="47">
        <v>45649</v>
      </c>
      <c r="O1215" s="20">
        <f>INDEX(Auxiliar!$D$5:$F$13,MATCH(Table1[[#This Row],[Tipologia_Testes]],Auxiliar!$B$5:$B$13,0),MATCH(Table1[[#This Row],[Complexidade]],Auxiliar!$D$4:$F$4,0))</f>
        <v>2</v>
      </c>
      <c r="P1215" s="42" t="s">
        <v>1279</v>
      </c>
      <c r="Q1215" s="113"/>
      <c r="R1215" s="151">
        <v>45593</v>
      </c>
      <c r="S1215" s="151"/>
      <c r="T1215" s="151">
        <v>45593</v>
      </c>
      <c r="U1215" s="151">
        <v>45611</v>
      </c>
      <c r="V1215" s="151">
        <v>45644</v>
      </c>
      <c r="W1215" s="2">
        <f>VLOOKUP(Table1[[#This Row],[Status]],Auxiliar!$B$16:$D$24,3,0)*Table1[[#This Row],[Estimação (horas)]]</f>
        <v>2</v>
      </c>
      <c r="X1215" s="113"/>
    </row>
    <row r="1216" spans="2:24" ht="17.7" hidden="1" customHeight="1">
      <c r="B1216" s="38" t="s">
        <v>26</v>
      </c>
      <c r="C1216" s="38" t="s">
        <v>26</v>
      </c>
      <c r="D1216" s="38" t="s">
        <v>1284</v>
      </c>
      <c r="E1216" s="38" t="s">
        <v>1278</v>
      </c>
      <c r="F1216" s="38" t="s">
        <v>335</v>
      </c>
      <c r="G1216" s="38" t="s">
        <v>363</v>
      </c>
      <c r="H1216" s="58" t="str">
        <f>Table1[[#This Row],[Tabela]]&amp;Table1[[#This Row],[Campo]]</f>
        <v>lt003_entitygrp_ttl_lblty</v>
      </c>
      <c r="I1216" s="2" t="s">
        <v>612</v>
      </c>
      <c r="J1216" s="44">
        <f>VLOOKUP(Table1[[#This Row],[Status]],Auxiliar!$B$16:$C$24,2,0)</f>
        <v>1</v>
      </c>
      <c r="K1216" s="44" t="s">
        <v>1190</v>
      </c>
      <c r="L1216" s="45" t="s">
        <v>1193</v>
      </c>
      <c r="M1216" s="20" t="s">
        <v>1194</v>
      </c>
      <c r="N1216" s="47">
        <v>45649</v>
      </c>
      <c r="O1216" s="20">
        <f>INDEX(Auxiliar!$D$5:$F$13,MATCH(Table1[[#This Row],[Tipologia_Testes]],Auxiliar!$B$5:$B$13,0),MATCH(Table1[[#This Row],[Complexidade]],Auxiliar!$D$4:$F$4,0))</f>
        <v>0.1</v>
      </c>
      <c r="P1216" s="42" t="s">
        <v>1279</v>
      </c>
      <c r="Q1216" s="113"/>
      <c r="R1216" s="151">
        <v>45593</v>
      </c>
      <c r="S1216" s="151"/>
      <c r="T1216" s="151">
        <v>45593</v>
      </c>
      <c r="U1216" s="151">
        <v>45611</v>
      </c>
      <c r="V1216" s="151">
        <v>45644</v>
      </c>
      <c r="W1216" s="2">
        <f>VLOOKUP(Table1[[#This Row],[Status]],Auxiliar!$B$16:$D$24,3,0)*Table1[[#This Row],[Estimação (horas)]]</f>
        <v>0.1</v>
      </c>
      <c r="X1216" s="113"/>
    </row>
    <row r="1217" spans="2:24" ht="34.950000000000003" hidden="1" customHeight="1">
      <c r="B1217" s="40" t="s">
        <v>26</v>
      </c>
      <c r="C1217" s="40" t="s">
        <v>26</v>
      </c>
      <c r="D1217" s="35" t="s">
        <v>325</v>
      </c>
      <c r="E1217" s="110" t="s">
        <v>1285</v>
      </c>
      <c r="F1217" s="39" t="s">
        <v>335</v>
      </c>
      <c r="G1217" s="37" t="s">
        <v>364</v>
      </c>
      <c r="H1217" s="59" t="str">
        <f>Table1[[#This Row],[Tabela]]&amp;Table1[[#This Row],[Campo]]</f>
        <v>lt003_entityflg_grp_nfrd_applcblty</v>
      </c>
      <c r="I1217" s="2" t="s">
        <v>612</v>
      </c>
      <c r="J1217" s="44">
        <f>VLOOKUP(Table1[[#This Row],[Status]],Auxiliar!$B$16:$C$24,2,0)</f>
        <v>1</v>
      </c>
      <c r="K1217" s="44" t="s">
        <v>1187</v>
      </c>
      <c r="L1217" s="45" t="s">
        <v>1193</v>
      </c>
      <c r="M1217" s="20" t="s">
        <v>1194</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7" hidden="1" customHeight="1">
      <c r="B1218" s="38" t="s">
        <v>26</v>
      </c>
      <c r="C1218" s="38" t="s">
        <v>26</v>
      </c>
      <c r="D1218" s="38" t="s">
        <v>325</v>
      </c>
      <c r="E1218" s="38" t="s">
        <v>1285</v>
      </c>
      <c r="F1218" s="38" t="s">
        <v>335</v>
      </c>
      <c r="G1218" s="38" t="s">
        <v>364</v>
      </c>
      <c r="H1218" s="58" t="str">
        <f>Table1[[#This Row],[Tabela]]&amp;Table1[[#This Row],[Campo]]</f>
        <v>lt003_entityflg_grp_nfrd_applcblty</v>
      </c>
      <c r="I1218" s="2" t="s">
        <v>612</v>
      </c>
      <c r="J1218" s="44">
        <f>VLOOKUP(Table1[[#This Row],[Status]],Auxiliar!$B$16:$C$24,2,0)</f>
        <v>1</v>
      </c>
      <c r="K1218" s="44" t="s">
        <v>1188</v>
      </c>
      <c r="L1218" s="45" t="s">
        <v>1193</v>
      </c>
      <c r="M1218" s="20" t="s">
        <v>1194</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7" hidden="1" customHeight="1">
      <c r="B1219" s="38" t="s">
        <v>26</v>
      </c>
      <c r="C1219" s="38" t="s">
        <v>26</v>
      </c>
      <c r="D1219" s="38" t="s">
        <v>325</v>
      </c>
      <c r="E1219" s="38" t="s">
        <v>1285</v>
      </c>
      <c r="F1219" s="38" t="s">
        <v>335</v>
      </c>
      <c r="G1219" s="38" t="s">
        <v>364</v>
      </c>
      <c r="H1219" s="58" t="str">
        <f>Table1[[#This Row],[Tabela]]&amp;Table1[[#This Row],[Campo]]</f>
        <v>lt003_entityflg_grp_nfrd_applcblty</v>
      </c>
      <c r="I1219" s="2" t="s">
        <v>612</v>
      </c>
      <c r="J1219" s="44">
        <f>VLOOKUP(Table1[[#This Row],[Status]],Auxiliar!$B$16:$C$24,2,0)</f>
        <v>1</v>
      </c>
      <c r="K1219" s="44" t="s">
        <v>1190</v>
      </c>
      <c r="L1219" s="45" t="s">
        <v>1193</v>
      </c>
      <c r="M1219" s="20" t="s">
        <v>1194</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4.950000000000003" hidden="1" customHeight="1">
      <c r="B1220" s="40" t="s">
        <v>26</v>
      </c>
      <c r="C1220" s="40" t="s">
        <v>26</v>
      </c>
      <c r="D1220" s="35" t="s">
        <v>325</v>
      </c>
      <c r="E1220" s="110" t="s">
        <v>1286</v>
      </c>
      <c r="F1220" s="39" t="s">
        <v>335</v>
      </c>
      <c r="G1220" s="37" t="s">
        <v>365</v>
      </c>
      <c r="H1220" s="59" t="str">
        <f>Table1[[#This Row],[Tabela]]&amp;Table1[[#This Row],[Campo]]</f>
        <v>lt003_entitygrp_emssns_scp1</v>
      </c>
      <c r="I1220" s="2" t="s">
        <v>612</v>
      </c>
      <c r="J1220" s="44">
        <f>VLOOKUP(Table1[[#This Row],[Status]],Auxiliar!$B$16:$C$24,2,0)</f>
        <v>1</v>
      </c>
      <c r="K1220" s="44" t="s">
        <v>1187</v>
      </c>
      <c r="L1220" s="45" t="s">
        <v>1193</v>
      </c>
      <c r="M1220" s="20" t="s">
        <v>1194</v>
      </c>
      <c r="N1220" s="47">
        <v>45674</v>
      </c>
      <c r="O1220" s="20">
        <f>INDEX(Auxiliar!$D$5:$F$13,MATCH(Table1[[#This Row],[Tipologia_Testes]],Auxiliar!$B$5:$B$13,0),MATCH(Table1[[#This Row],[Complexidade]],Auxiliar!$D$4:$F$4,0))</f>
        <v>2</v>
      </c>
      <c r="P1220" s="42" t="s">
        <v>1287</v>
      </c>
      <c r="Q1220" s="113"/>
      <c r="R1220" s="151">
        <v>45589</v>
      </c>
      <c r="S1220" s="151"/>
      <c r="T1220" s="151">
        <v>45589</v>
      </c>
      <c r="U1220" s="151"/>
      <c r="V1220" s="151">
        <v>45644</v>
      </c>
      <c r="W1220" s="2">
        <f>VLOOKUP(Table1[[#This Row],[Status]],Auxiliar!$B$16:$D$24,3,0)*Table1[[#This Row],[Estimação (horas)]]</f>
        <v>2</v>
      </c>
      <c r="X1220" s="113"/>
    </row>
    <row r="1221" spans="2:24" ht="17.7" hidden="1" customHeight="1">
      <c r="B1221" s="38" t="s">
        <v>26</v>
      </c>
      <c r="C1221" s="38" t="s">
        <v>26</v>
      </c>
      <c r="D1221" s="38" t="s">
        <v>325</v>
      </c>
      <c r="E1221" s="38" t="s">
        <v>1286</v>
      </c>
      <c r="F1221" s="38" t="s">
        <v>335</v>
      </c>
      <c r="G1221" s="38" t="s">
        <v>365</v>
      </c>
      <c r="H1221" s="58" t="str">
        <f>Table1[[#This Row],[Tabela]]&amp;Table1[[#This Row],[Campo]]</f>
        <v>lt003_entitygrp_emssns_scp1</v>
      </c>
      <c r="I1221" s="2" t="s">
        <v>612</v>
      </c>
      <c r="J1221" s="44">
        <f>VLOOKUP(Table1[[#This Row],[Status]],Auxiliar!$B$16:$C$24,2,0)</f>
        <v>1</v>
      </c>
      <c r="K1221" s="44" t="s">
        <v>1188</v>
      </c>
      <c r="L1221" s="45" t="s">
        <v>1193</v>
      </c>
      <c r="M1221" s="20" t="s">
        <v>1194</v>
      </c>
      <c r="N1221" s="47">
        <v>45674</v>
      </c>
      <c r="O1221" s="20">
        <f>INDEX(Auxiliar!$D$5:$F$13,MATCH(Table1[[#This Row],[Tipologia_Testes]],Auxiliar!$B$5:$B$13,0),MATCH(Table1[[#This Row],[Complexidade]],Auxiliar!$D$4:$F$4,0))</f>
        <v>2</v>
      </c>
      <c r="P1221" s="42" t="s">
        <v>1287</v>
      </c>
      <c r="Q1221" s="113"/>
      <c r="R1221" s="151">
        <v>45589</v>
      </c>
      <c r="S1221" s="151"/>
      <c r="T1221" s="151">
        <v>45589</v>
      </c>
      <c r="U1221" s="151"/>
      <c r="V1221" s="151">
        <v>45644</v>
      </c>
      <c r="W1221" s="2">
        <f>VLOOKUP(Table1[[#This Row],[Status]],Auxiliar!$B$16:$D$24,3,0)*Table1[[#This Row],[Estimação (horas)]]</f>
        <v>2</v>
      </c>
      <c r="X1221" s="113"/>
    </row>
    <row r="1222" spans="2:24" ht="17.7" hidden="1" customHeight="1">
      <c r="B1222" s="38" t="s">
        <v>26</v>
      </c>
      <c r="C1222" s="38" t="s">
        <v>26</v>
      </c>
      <c r="D1222" s="38" t="s">
        <v>325</v>
      </c>
      <c r="E1222" s="38" t="s">
        <v>1286</v>
      </c>
      <c r="F1222" s="38" t="s">
        <v>335</v>
      </c>
      <c r="G1222" s="38" t="s">
        <v>365</v>
      </c>
      <c r="H1222" s="58" t="str">
        <f>Table1[[#This Row],[Tabela]]&amp;Table1[[#This Row],[Campo]]</f>
        <v>lt003_entitygrp_emssns_scp1</v>
      </c>
      <c r="I1222" s="2" t="s">
        <v>612</v>
      </c>
      <c r="J1222" s="44">
        <f>VLOOKUP(Table1[[#This Row],[Status]],Auxiliar!$B$16:$C$24,2,0)</f>
        <v>1</v>
      </c>
      <c r="K1222" s="44" t="s">
        <v>1190</v>
      </c>
      <c r="L1222" s="45" t="s">
        <v>1193</v>
      </c>
      <c r="M1222" s="20" t="s">
        <v>1194</v>
      </c>
      <c r="N1222" s="47">
        <v>45674</v>
      </c>
      <c r="O1222" s="20">
        <f>INDEX(Auxiliar!$D$5:$F$13,MATCH(Table1[[#This Row],[Tipologia_Testes]],Auxiliar!$B$5:$B$13,0),MATCH(Table1[[#This Row],[Complexidade]],Auxiliar!$D$4:$F$4,0))</f>
        <v>0.1</v>
      </c>
      <c r="P1222" s="42" t="s">
        <v>1287</v>
      </c>
      <c r="Q1222" s="113"/>
      <c r="R1222" s="151">
        <v>45589</v>
      </c>
      <c r="S1222" s="151"/>
      <c r="T1222" s="151">
        <v>45589</v>
      </c>
      <c r="U1222" s="151"/>
      <c r="V1222" s="151">
        <v>45644</v>
      </c>
      <c r="W1222" s="2">
        <f>VLOOKUP(Table1[[#This Row],[Status]],Auxiliar!$B$16:$D$24,3,0)*Table1[[#This Row],[Estimação (horas)]]</f>
        <v>0.1</v>
      </c>
      <c r="X1222" s="113"/>
    </row>
    <row r="1223" spans="2:24" ht="34.950000000000003" hidden="1" customHeight="1">
      <c r="B1223" s="40" t="s">
        <v>26</v>
      </c>
      <c r="C1223" s="40" t="s">
        <v>26</v>
      </c>
      <c r="D1223" s="35" t="s">
        <v>325</v>
      </c>
      <c r="E1223" s="110" t="s">
        <v>1288</v>
      </c>
      <c r="F1223" s="39" t="s">
        <v>335</v>
      </c>
      <c r="G1223" s="37" t="s">
        <v>366</v>
      </c>
      <c r="H1223" s="59" t="str">
        <f>Table1[[#This Row],[Tabela]]&amp;Table1[[#This Row],[Campo]]</f>
        <v>lt003_entitygrp_emssns_scp2</v>
      </c>
      <c r="I1223" s="2" t="s">
        <v>612</v>
      </c>
      <c r="J1223" s="44">
        <f>VLOOKUP(Table1[[#This Row],[Status]],Auxiliar!$B$16:$C$24,2,0)</f>
        <v>1</v>
      </c>
      <c r="K1223" s="44" t="s">
        <v>1187</v>
      </c>
      <c r="L1223" s="45" t="s">
        <v>1193</v>
      </c>
      <c r="M1223" s="20" t="s">
        <v>1194</v>
      </c>
      <c r="N1223" s="47">
        <v>45674</v>
      </c>
      <c r="O1223" s="20">
        <f>INDEX(Auxiliar!$D$5:$F$13,MATCH(Table1[[#This Row],[Tipologia_Testes]],Auxiliar!$B$5:$B$13,0),MATCH(Table1[[#This Row],[Complexidade]],Auxiliar!$D$4:$F$4,0))</f>
        <v>2</v>
      </c>
      <c r="P1223" s="42" t="s">
        <v>1287</v>
      </c>
      <c r="Q1223" s="113"/>
      <c r="R1223" s="151">
        <v>45589</v>
      </c>
      <c r="S1223" s="151"/>
      <c r="T1223" s="151">
        <v>45589</v>
      </c>
      <c r="U1223" s="151"/>
      <c r="V1223" s="151">
        <v>45644</v>
      </c>
      <c r="W1223" s="2">
        <f>VLOOKUP(Table1[[#This Row],[Status]],Auxiliar!$B$16:$D$24,3,0)*Table1[[#This Row],[Estimação (horas)]]</f>
        <v>2</v>
      </c>
      <c r="X1223" s="113"/>
    </row>
    <row r="1224" spans="2:24" ht="17.7" hidden="1" customHeight="1">
      <c r="B1224" s="38" t="s">
        <v>26</v>
      </c>
      <c r="C1224" s="38" t="s">
        <v>26</v>
      </c>
      <c r="D1224" s="38" t="s">
        <v>325</v>
      </c>
      <c r="E1224" s="38" t="s">
        <v>1288</v>
      </c>
      <c r="F1224" s="38" t="s">
        <v>335</v>
      </c>
      <c r="G1224" s="38" t="s">
        <v>366</v>
      </c>
      <c r="H1224" s="58" t="str">
        <f>Table1[[#This Row],[Tabela]]&amp;Table1[[#This Row],[Campo]]</f>
        <v>lt003_entitygrp_emssns_scp2</v>
      </c>
      <c r="I1224" s="2" t="s">
        <v>612</v>
      </c>
      <c r="J1224" s="44">
        <f>VLOOKUP(Table1[[#This Row],[Status]],Auxiliar!$B$16:$C$24,2,0)</f>
        <v>1</v>
      </c>
      <c r="K1224" s="44" t="s">
        <v>1188</v>
      </c>
      <c r="L1224" s="45" t="s">
        <v>1193</v>
      </c>
      <c r="M1224" s="20" t="s">
        <v>1194</v>
      </c>
      <c r="N1224" s="47">
        <v>45674</v>
      </c>
      <c r="O1224" s="20">
        <f>INDEX(Auxiliar!$D$5:$F$13,MATCH(Table1[[#This Row],[Tipologia_Testes]],Auxiliar!$B$5:$B$13,0),MATCH(Table1[[#This Row],[Complexidade]],Auxiliar!$D$4:$F$4,0))</f>
        <v>2</v>
      </c>
      <c r="P1224" s="42" t="s">
        <v>1287</v>
      </c>
      <c r="Q1224" s="113"/>
      <c r="R1224" s="151">
        <v>45589</v>
      </c>
      <c r="S1224" s="151"/>
      <c r="T1224" s="151">
        <v>45589</v>
      </c>
      <c r="U1224" s="151"/>
      <c r="V1224" s="151">
        <v>45644</v>
      </c>
      <c r="W1224" s="2">
        <f>VLOOKUP(Table1[[#This Row],[Status]],Auxiliar!$B$16:$D$24,3,0)*Table1[[#This Row],[Estimação (horas)]]</f>
        <v>2</v>
      </c>
      <c r="X1224" s="113"/>
    </row>
    <row r="1225" spans="2:24" ht="17.7" hidden="1" customHeight="1">
      <c r="B1225" s="38" t="s">
        <v>26</v>
      </c>
      <c r="C1225" s="38" t="s">
        <v>26</v>
      </c>
      <c r="D1225" s="38" t="s">
        <v>325</v>
      </c>
      <c r="E1225" s="38" t="s">
        <v>1288</v>
      </c>
      <c r="F1225" s="38" t="s">
        <v>335</v>
      </c>
      <c r="G1225" s="38" t="s">
        <v>366</v>
      </c>
      <c r="H1225" s="58" t="str">
        <f>Table1[[#This Row],[Tabela]]&amp;Table1[[#This Row],[Campo]]</f>
        <v>lt003_entitygrp_emssns_scp2</v>
      </c>
      <c r="I1225" s="2" t="s">
        <v>612</v>
      </c>
      <c r="J1225" s="44">
        <f>VLOOKUP(Table1[[#This Row],[Status]],Auxiliar!$B$16:$C$24,2,0)</f>
        <v>1</v>
      </c>
      <c r="K1225" s="44" t="s">
        <v>1190</v>
      </c>
      <c r="L1225" s="45" t="s">
        <v>1193</v>
      </c>
      <c r="M1225" s="20" t="s">
        <v>1194</v>
      </c>
      <c r="N1225" s="47">
        <v>45674</v>
      </c>
      <c r="O1225" s="20">
        <f>INDEX(Auxiliar!$D$5:$F$13,MATCH(Table1[[#This Row],[Tipologia_Testes]],Auxiliar!$B$5:$B$13,0),MATCH(Table1[[#This Row],[Complexidade]],Auxiliar!$D$4:$F$4,0))</f>
        <v>0.1</v>
      </c>
      <c r="P1225" s="42" t="s">
        <v>1287</v>
      </c>
      <c r="Q1225" s="113"/>
      <c r="R1225" s="151">
        <v>45589</v>
      </c>
      <c r="S1225" s="151"/>
      <c r="T1225" s="151">
        <v>45589</v>
      </c>
      <c r="U1225" s="151"/>
      <c r="V1225" s="151">
        <v>45644</v>
      </c>
      <c r="W1225" s="2">
        <f>VLOOKUP(Table1[[#This Row],[Status]],Auxiliar!$B$16:$D$24,3,0)*Table1[[#This Row],[Estimação (horas)]]</f>
        <v>0.1</v>
      </c>
      <c r="X1225" s="113"/>
    </row>
    <row r="1226" spans="2:24" ht="34.950000000000003" hidden="1" customHeight="1">
      <c r="B1226" s="40" t="s">
        <v>26</v>
      </c>
      <c r="C1226" s="40" t="s">
        <v>26</v>
      </c>
      <c r="D1226" s="35" t="s">
        <v>325</v>
      </c>
      <c r="E1226" s="110" t="s">
        <v>1289</v>
      </c>
      <c r="F1226" s="39" t="s">
        <v>335</v>
      </c>
      <c r="G1226" s="37" t="s">
        <v>367</v>
      </c>
      <c r="H1226" s="59" t="str">
        <f>Table1[[#This Row],[Tabela]]&amp;Table1[[#This Row],[Campo]]</f>
        <v>lt003_entitygrp_emssns_scp3</v>
      </c>
      <c r="I1226" s="2" t="s">
        <v>612</v>
      </c>
      <c r="J1226" s="44">
        <f>VLOOKUP(Table1[[#This Row],[Status]],Auxiliar!$B$16:$C$24,2,0)</f>
        <v>1</v>
      </c>
      <c r="K1226" s="44" t="s">
        <v>1187</v>
      </c>
      <c r="L1226" s="45" t="s">
        <v>1193</v>
      </c>
      <c r="M1226" s="20" t="s">
        <v>1194</v>
      </c>
      <c r="N1226" s="47">
        <v>45674</v>
      </c>
      <c r="O1226" s="20">
        <f>INDEX(Auxiliar!$D$5:$F$13,MATCH(Table1[[#This Row],[Tipologia_Testes]],Auxiliar!$B$5:$B$13,0),MATCH(Table1[[#This Row],[Complexidade]],Auxiliar!$D$4:$F$4,0))</f>
        <v>2</v>
      </c>
      <c r="P1226" s="42" t="s">
        <v>1287</v>
      </c>
      <c r="Q1226" s="113"/>
      <c r="R1226" s="151">
        <v>45589</v>
      </c>
      <c r="S1226" s="151"/>
      <c r="T1226" s="151">
        <v>45589</v>
      </c>
      <c r="U1226" s="151"/>
      <c r="V1226" s="151">
        <v>45644</v>
      </c>
      <c r="W1226" s="2">
        <f>VLOOKUP(Table1[[#This Row],[Status]],Auxiliar!$B$16:$D$24,3,0)*Table1[[#This Row],[Estimação (horas)]]</f>
        <v>2</v>
      </c>
      <c r="X1226" s="113"/>
    </row>
    <row r="1227" spans="2:24" ht="17.7" hidden="1" customHeight="1">
      <c r="B1227" s="38" t="s">
        <v>26</v>
      </c>
      <c r="C1227" s="38" t="s">
        <v>26</v>
      </c>
      <c r="D1227" s="38" t="s">
        <v>325</v>
      </c>
      <c r="E1227" s="38" t="s">
        <v>1289</v>
      </c>
      <c r="F1227" s="38" t="s">
        <v>335</v>
      </c>
      <c r="G1227" s="38" t="s">
        <v>367</v>
      </c>
      <c r="H1227" s="58" t="str">
        <f>Table1[[#This Row],[Tabela]]&amp;Table1[[#This Row],[Campo]]</f>
        <v>lt003_entitygrp_emssns_scp3</v>
      </c>
      <c r="I1227" s="2" t="s">
        <v>612</v>
      </c>
      <c r="J1227" s="44">
        <f>VLOOKUP(Table1[[#This Row],[Status]],Auxiliar!$B$16:$C$24,2,0)</f>
        <v>1</v>
      </c>
      <c r="K1227" s="44" t="s">
        <v>1188</v>
      </c>
      <c r="L1227" s="45" t="s">
        <v>1193</v>
      </c>
      <c r="M1227" s="20" t="s">
        <v>1194</v>
      </c>
      <c r="N1227" s="47">
        <v>45674</v>
      </c>
      <c r="O1227" s="20">
        <f>INDEX(Auxiliar!$D$5:$F$13,MATCH(Table1[[#This Row],[Tipologia_Testes]],Auxiliar!$B$5:$B$13,0),MATCH(Table1[[#This Row],[Complexidade]],Auxiliar!$D$4:$F$4,0))</f>
        <v>2</v>
      </c>
      <c r="P1227" s="42" t="s">
        <v>1287</v>
      </c>
      <c r="Q1227" s="113"/>
      <c r="R1227" s="151">
        <v>45589</v>
      </c>
      <c r="S1227" s="151"/>
      <c r="T1227" s="151">
        <v>45589</v>
      </c>
      <c r="U1227" s="151"/>
      <c r="V1227" s="151">
        <v>45644</v>
      </c>
      <c r="W1227" s="2">
        <f>VLOOKUP(Table1[[#This Row],[Status]],Auxiliar!$B$16:$D$24,3,0)*Table1[[#This Row],[Estimação (horas)]]</f>
        <v>2</v>
      </c>
      <c r="X1227" s="113"/>
    </row>
    <row r="1228" spans="2:24" ht="17.7" hidden="1" customHeight="1">
      <c r="B1228" s="38" t="s">
        <v>26</v>
      </c>
      <c r="C1228" s="38" t="s">
        <v>26</v>
      </c>
      <c r="D1228" s="38" t="s">
        <v>325</v>
      </c>
      <c r="E1228" s="38" t="s">
        <v>1289</v>
      </c>
      <c r="F1228" s="38" t="s">
        <v>335</v>
      </c>
      <c r="G1228" s="38" t="s">
        <v>367</v>
      </c>
      <c r="H1228" s="58" t="str">
        <f>Table1[[#This Row],[Tabela]]&amp;Table1[[#This Row],[Campo]]</f>
        <v>lt003_entitygrp_emssns_scp3</v>
      </c>
      <c r="I1228" s="2" t="s">
        <v>612</v>
      </c>
      <c r="J1228" s="44">
        <f>VLOOKUP(Table1[[#This Row],[Status]],Auxiliar!$B$16:$C$24,2,0)</f>
        <v>1</v>
      </c>
      <c r="K1228" s="44" t="s">
        <v>1190</v>
      </c>
      <c r="L1228" s="45" t="s">
        <v>1193</v>
      </c>
      <c r="M1228" s="20" t="s">
        <v>1194</v>
      </c>
      <c r="N1228" s="47">
        <v>45674</v>
      </c>
      <c r="O1228" s="20">
        <f>INDEX(Auxiliar!$D$5:$F$13,MATCH(Table1[[#This Row],[Tipologia_Testes]],Auxiliar!$B$5:$B$13,0),MATCH(Table1[[#This Row],[Complexidade]],Auxiliar!$D$4:$F$4,0))</f>
        <v>0.1</v>
      </c>
      <c r="P1228" s="42" t="s">
        <v>1287</v>
      </c>
      <c r="Q1228" s="113"/>
      <c r="R1228" s="151">
        <v>45589</v>
      </c>
      <c r="S1228" s="151"/>
      <c r="T1228" s="151">
        <v>45589</v>
      </c>
      <c r="U1228" s="151"/>
      <c r="V1228" s="151">
        <v>45644</v>
      </c>
      <c r="W1228" s="2">
        <f>VLOOKUP(Table1[[#This Row],[Status]],Auxiliar!$B$16:$D$24,3,0)*Table1[[#This Row],[Estimação (horas)]]</f>
        <v>0.1</v>
      </c>
      <c r="X1228" s="113"/>
    </row>
    <row r="1229" spans="2:24" ht="17.7" hidden="1"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1192</v>
      </c>
      <c r="L1229" s="45" t="s">
        <v>1193</v>
      </c>
      <c r="M1229" s="20" t="s">
        <v>1194</v>
      </c>
      <c r="N1229" s="47">
        <v>45667</v>
      </c>
      <c r="O1229" s="112">
        <v>0.1</v>
      </c>
      <c r="P1229" s="2" t="s">
        <v>1950</v>
      </c>
      <c r="Q1229" s="151"/>
      <c r="R1229" s="151">
        <v>45603</v>
      </c>
      <c r="S1229" s="151"/>
      <c r="T1229" s="151">
        <v>45588</v>
      </c>
      <c r="U1229" s="151">
        <v>45624</v>
      </c>
      <c r="V1229" s="151">
        <v>45624</v>
      </c>
      <c r="W1229" s="2">
        <f>VLOOKUP(Table1[[#This Row],[Status]],Auxiliar!$B$16:$D$24,3,0)*Table1[[#This Row],[Estimação (horas)]]</f>
        <v>0.1</v>
      </c>
      <c r="X1229" s="202"/>
    </row>
    <row r="1230" spans="2:24" ht="17.7" hidden="1" customHeight="1">
      <c r="B1230" s="38" t="s">
        <v>26</v>
      </c>
      <c r="C1230" s="38" t="s">
        <v>26</v>
      </c>
      <c r="D1230" s="382" t="s">
        <v>1290</v>
      </c>
      <c r="E1230" s="385" t="s">
        <v>1272</v>
      </c>
      <c r="F1230" s="384" t="s">
        <v>368</v>
      </c>
      <c r="G1230" s="386" t="s">
        <v>371</v>
      </c>
      <c r="H1230" s="388" t="str">
        <f>Table1[[#This Row],[Tabela]]&amp;Table1[[#This Row],[Campo]]</f>
        <v>lt004_protectiontyp_epc_lbl</v>
      </c>
      <c r="I1230" s="2" t="s">
        <v>612</v>
      </c>
      <c r="J1230" s="44">
        <f>VLOOKUP(Table1[[#This Row],[Status]],Auxiliar!$B$16:$C$24,2,0)</f>
        <v>1</v>
      </c>
      <c r="K1230" s="44" t="s">
        <v>1187</v>
      </c>
      <c r="L1230" s="45" t="s">
        <v>1193</v>
      </c>
      <c r="M1230" s="20" t="s">
        <v>1194</v>
      </c>
      <c r="N1230" s="47">
        <v>45642</v>
      </c>
      <c r="O1230" s="20">
        <f>INDEX(Auxiliar!$D$5:$F$13,MATCH(Table1[[#This Row],[Tipologia_Testes]],Auxiliar!$B$5:$B$13,0),MATCH(Table1[[#This Row],[Complexidade]],Auxiliar!$D$4:$F$4,0))</f>
        <v>2</v>
      </c>
      <c r="P1230" s="42" t="s">
        <v>1291</v>
      </c>
      <c r="Q1230" s="42"/>
      <c r="R1230" s="151">
        <v>45583</v>
      </c>
      <c r="S1230" s="151"/>
      <c r="T1230" s="151">
        <v>45583</v>
      </c>
      <c r="U1230" s="151">
        <v>45596</v>
      </c>
      <c r="V1230" s="151">
        <v>45596</v>
      </c>
      <c r="W1230" s="2">
        <f>VLOOKUP(Table1[[#This Row],[Status]],Auxiliar!$B$16:$D$24,3,0)*Table1[[#This Row],[Estimação (horas)]]</f>
        <v>2</v>
      </c>
      <c r="X1230" s="113"/>
    </row>
    <row r="1231" spans="2:24" ht="17.7" hidden="1" customHeight="1">
      <c r="B1231" s="38" t="s">
        <v>26</v>
      </c>
      <c r="C1231" s="38" t="s">
        <v>26</v>
      </c>
      <c r="D1231" s="38" t="s">
        <v>1290</v>
      </c>
      <c r="E1231" s="38" t="s">
        <v>1272</v>
      </c>
      <c r="F1231" s="38" t="s">
        <v>368</v>
      </c>
      <c r="G1231" s="38" t="s">
        <v>371</v>
      </c>
      <c r="H1231" s="58" t="str">
        <f>Table1[[#This Row],[Tabela]]&amp;Table1[[#This Row],[Campo]]</f>
        <v>lt004_protectiontyp_epc_lbl</v>
      </c>
      <c r="I1231" s="2" t="s">
        <v>612</v>
      </c>
      <c r="J1231" s="44">
        <f>VLOOKUP(Table1[[#This Row],[Status]],Auxiliar!$B$16:$C$24,2,0)</f>
        <v>1</v>
      </c>
      <c r="K1231" s="44" t="s">
        <v>1188</v>
      </c>
      <c r="L1231" s="45" t="s">
        <v>1193</v>
      </c>
      <c r="M1231" s="20" t="s">
        <v>1194</v>
      </c>
      <c r="N1231" s="47">
        <v>45642</v>
      </c>
      <c r="O1231" s="20">
        <f>INDEX(Auxiliar!$D$5:$F$13,MATCH(Table1[[#This Row],[Tipologia_Testes]],Auxiliar!$B$5:$B$13,0),MATCH(Table1[[#This Row],[Complexidade]],Auxiliar!$D$4:$F$4,0))</f>
        <v>2</v>
      </c>
      <c r="P1231" s="42" t="s">
        <v>1291</v>
      </c>
      <c r="Q1231" s="42"/>
      <c r="R1231" s="151">
        <v>45583</v>
      </c>
      <c r="S1231" s="151"/>
      <c r="T1231" s="151">
        <v>45583</v>
      </c>
      <c r="U1231" s="151">
        <v>45596</v>
      </c>
      <c r="V1231" s="151">
        <v>45596</v>
      </c>
      <c r="W1231" s="2">
        <f>VLOOKUP(Table1[[#This Row],[Status]],Auxiliar!$B$16:$D$24,3,0)*Table1[[#This Row],[Estimação (horas)]]</f>
        <v>2</v>
      </c>
      <c r="X1231" s="113"/>
    </row>
    <row r="1232" spans="2:24" ht="17.7" hidden="1" customHeight="1">
      <c r="B1232" s="40" t="s">
        <v>26</v>
      </c>
      <c r="C1232" s="40" t="s">
        <v>26</v>
      </c>
      <c r="D1232" s="42" t="s">
        <v>1290</v>
      </c>
      <c r="E1232" s="42" t="s">
        <v>1272</v>
      </c>
      <c r="F1232" s="42" t="s">
        <v>368</v>
      </c>
      <c r="G1232" s="42" t="s">
        <v>371</v>
      </c>
      <c r="H1232" s="56" t="str">
        <f>Table1[[#This Row],[Tabela]]&amp;Table1[[#This Row],[Campo]]</f>
        <v>lt004_protectiontyp_epc_lbl</v>
      </c>
      <c r="I1232" s="2" t="s">
        <v>612</v>
      </c>
      <c r="J1232" s="44">
        <f>VLOOKUP(Table1[[#This Row],[Status]],Auxiliar!$B$16:$C$24,2,0)</f>
        <v>1</v>
      </c>
      <c r="K1232" s="44" t="s">
        <v>1190</v>
      </c>
      <c r="L1232" s="45" t="s">
        <v>1193</v>
      </c>
      <c r="M1232" s="20" t="s">
        <v>1194</v>
      </c>
      <c r="N1232" s="47">
        <v>45642</v>
      </c>
      <c r="O1232" s="20">
        <f>INDEX(Auxiliar!$D$5:$F$13,MATCH(Table1[[#This Row],[Tipologia_Testes]],Auxiliar!$B$5:$B$13,0),MATCH(Table1[[#This Row],[Complexidade]],Auxiliar!$D$4:$F$4,0))</f>
        <v>0.1</v>
      </c>
      <c r="P1232" s="42" t="s">
        <v>1291</v>
      </c>
      <c r="Q1232" s="42"/>
      <c r="R1232" s="151">
        <v>45583</v>
      </c>
      <c r="S1232" s="151"/>
      <c r="T1232" s="151">
        <v>45583</v>
      </c>
      <c r="U1232" s="151">
        <v>45596</v>
      </c>
      <c r="V1232" s="151">
        <v>45596</v>
      </c>
      <c r="W1232" s="2">
        <f>VLOOKUP(Table1[[#This Row],[Status]],Auxiliar!$B$16:$D$24,3,0)*Table1[[#This Row],[Estimação (horas)]]</f>
        <v>0.1</v>
      </c>
      <c r="X1232" s="113"/>
    </row>
    <row r="1233" spans="2:24" ht="17.7" hidden="1" customHeight="1">
      <c r="B1233" s="38" t="s">
        <v>26</v>
      </c>
      <c r="C1233" s="38" t="s">
        <v>26</v>
      </c>
      <c r="D1233" s="382" t="s">
        <v>1290</v>
      </c>
      <c r="E1233" s="385" t="s">
        <v>1272</v>
      </c>
      <c r="F1233" s="384" t="s">
        <v>368</v>
      </c>
      <c r="G1233" s="386" t="s">
        <v>369</v>
      </c>
      <c r="H1233" s="388" t="str">
        <f>Table1[[#This Row],[Tabela]]&amp;Table1[[#This Row],[Campo]]</f>
        <v>lt004_protectiontyp_ep_scr</v>
      </c>
      <c r="I1233" s="2" t="s">
        <v>612</v>
      </c>
      <c r="J1233" s="44">
        <f>VLOOKUP(Table1[[#This Row],[Status]],Auxiliar!$B$16:$C$24,2,0)</f>
        <v>1</v>
      </c>
      <c r="K1233" s="44" t="s">
        <v>1187</v>
      </c>
      <c r="L1233" s="45" t="s">
        <v>1193</v>
      </c>
      <c r="M1233" s="20" t="s">
        <v>1194</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7" hidden="1" customHeight="1">
      <c r="B1234" s="38" t="s">
        <v>26</v>
      </c>
      <c r="C1234" s="38" t="s">
        <v>26</v>
      </c>
      <c r="D1234" s="38" t="s">
        <v>1290</v>
      </c>
      <c r="E1234" s="38" t="s">
        <v>1272</v>
      </c>
      <c r="F1234" s="38" t="s">
        <v>368</v>
      </c>
      <c r="G1234" s="38" t="s">
        <v>369</v>
      </c>
      <c r="H1234" s="58" t="str">
        <f>Table1[[#This Row],[Tabela]]&amp;Table1[[#This Row],[Campo]]</f>
        <v>lt004_protectiontyp_ep_scr</v>
      </c>
      <c r="I1234" s="2" t="s">
        <v>612</v>
      </c>
      <c r="J1234" s="44">
        <f>VLOOKUP(Table1[[#This Row],[Status]],Auxiliar!$B$16:$C$24,2,0)</f>
        <v>1</v>
      </c>
      <c r="K1234" s="44" t="s">
        <v>1188</v>
      </c>
      <c r="L1234" s="45" t="s">
        <v>1193</v>
      </c>
      <c r="M1234" s="20" t="s">
        <v>1194</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7" hidden="1" customHeight="1">
      <c r="B1235" s="40" t="s">
        <v>26</v>
      </c>
      <c r="C1235" s="40" t="s">
        <v>26</v>
      </c>
      <c r="D1235" s="42" t="s">
        <v>1290</v>
      </c>
      <c r="E1235" s="42" t="s">
        <v>1272</v>
      </c>
      <c r="F1235" s="42" t="s">
        <v>368</v>
      </c>
      <c r="G1235" s="42" t="s">
        <v>369</v>
      </c>
      <c r="H1235" s="56" t="str">
        <f>Table1[[#This Row],[Tabela]]&amp;Table1[[#This Row],[Campo]]</f>
        <v>lt004_protectiontyp_ep_scr</v>
      </c>
      <c r="I1235" s="2" t="s">
        <v>612</v>
      </c>
      <c r="J1235" s="44">
        <f>VLOOKUP(Table1[[#This Row],[Status]],Auxiliar!$B$16:$C$24,2,0)</f>
        <v>1</v>
      </c>
      <c r="K1235" s="44" t="s">
        <v>1190</v>
      </c>
      <c r="L1235" s="45" t="s">
        <v>1193</v>
      </c>
      <c r="M1235" s="20" t="s">
        <v>1194</v>
      </c>
      <c r="N1235" s="47">
        <v>45632</v>
      </c>
      <c r="O1235" s="20">
        <f>INDEX(Auxiliar!$D$5:$F$13,MATCH(Table1[[#This Row],[Tipologia_Testes]],Auxiliar!$B$5:$B$13,0),MATCH(Table1[[#This Row],[Complexidade]],Auxiliar!$D$4:$F$4,0))</f>
        <v>0.1</v>
      </c>
      <c r="P1235" s="42"/>
      <c r="Q1235" s="389"/>
      <c r="R1235" s="151">
        <v>45583</v>
      </c>
      <c r="S1235" s="151"/>
      <c r="T1235" s="151">
        <v>45583</v>
      </c>
      <c r="U1235" s="151">
        <v>45611</v>
      </c>
      <c r="V1235" s="151">
        <v>45611</v>
      </c>
      <c r="W1235" s="2">
        <f>VLOOKUP(Table1[[#This Row],[Status]],Auxiliar!$B$16:$D$24,3,0)*Table1[[#This Row],[Estimação (horas)]]</f>
        <v>0.1</v>
      </c>
      <c r="X1235" s="113"/>
    </row>
    <row r="1236" spans="2:24" ht="17.7" hidden="1" customHeight="1">
      <c r="B1236" s="38" t="s">
        <v>26</v>
      </c>
      <c r="C1236" s="38" t="s">
        <v>26</v>
      </c>
      <c r="D1236" s="19" t="s">
        <v>399</v>
      </c>
      <c r="E1236" s="384" t="s">
        <v>38</v>
      </c>
      <c r="F1236" s="19" t="s">
        <v>368</v>
      </c>
      <c r="G1236" s="19" t="s">
        <v>435</v>
      </c>
      <c r="H1236" s="58" t="str">
        <f>Table1[[#This Row],[Tabela]]&amp;Table1[[#This Row],[Campo]]</f>
        <v>lt004_protectionrl_estt_pst_cd</v>
      </c>
      <c r="I1236" s="2" t="s">
        <v>612</v>
      </c>
      <c r="J1236" s="44">
        <f>VLOOKUP(Table1[[#This Row],[Status]],Auxiliar!$B$16:$C$24,2,0)</f>
        <v>1</v>
      </c>
      <c r="K1236" s="43" t="s">
        <v>1192</v>
      </c>
      <c r="L1236" s="45" t="s">
        <v>1193</v>
      </c>
      <c r="M1236" s="20" t="s">
        <v>1194</v>
      </c>
      <c r="N1236" s="47">
        <v>45632</v>
      </c>
      <c r="O1236" s="112">
        <v>0.1</v>
      </c>
      <c r="P1236" s="2"/>
      <c r="Q1236" s="389"/>
      <c r="R1236" s="151">
        <v>45589</v>
      </c>
      <c r="S1236" s="151"/>
      <c r="T1236" s="151">
        <v>45589</v>
      </c>
      <c r="U1236" s="151">
        <v>45611</v>
      </c>
      <c r="V1236" s="151">
        <v>45611</v>
      </c>
      <c r="W1236" s="2">
        <f>VLOOKUP(Table1[[#This Row],[Status]],Auxiliar!$B$16:$D$24,3,0)*Table1[[#This Row],[Estimação (horas)]]</f>
        <v>0.1</v>
      </c>
      <c r="X1236" s="202"/>
    </row>
    <row r="1237" spans="2:24" ht="17.7" hidden="1" customHeight="1">
      <c r="B1237" s="38" t="s">
        <v>26</v>
      </c>
      <c r="C1237" s="38" t="s">
        <v>26</v>
      </c>
      <c r="D1237" s="19" t="s">
        <v>399</v>
      </c>
      <c r="E1237" s="384" t="s">
        <v>38</v>
      </c>
      <c r="F1237" s="19" t="s">
        <v>368</v>
      </c>
      <c r="G1237" s="19" t="s">
        <v>434</v>
      </c>
      <c r="H1237" s="58" t="str">
        <f>Table1[[#This Row],[Tabela]]&amp;Table1[[#This Row],[Campo]]</f>
        <v>lt004_protectionrl_estt_clltrl_lctn</v>
      </c>
      <c r="I1237" s="2" t="s">
        <v>612</v>
      </c>
      <c r="J1237" s="44">
        <f>VLOOKUP(Table1[[#This Row],[Status]],Auxiliar!$B$16:$C$24,2,0)</f>
        <v>1</v>
      </c>
      <c r="K1237" s="43" t="s">
        <v>1192</v>
      </c>
      <c r="L1237" s="45" t="s">
        <v>1193</v>
      </c>
      <c r="M1237" s="20" t="s">
        <v>1194</v>
      </c>
      <c r="N1237" s="47">
        <v>45632</v>
      </c>
      <c r="O1237" s="112">
        <v>0.1</v>
      </c>
      <c r="P1237" s="2"/>
      <c r="Q1237" s="389"/>
      <c r="R1237" s="151">
        <v>45589</v>
      </c>
      <c r="S1237" s="151"/>
      <c r="T1237" s="151">
        <v>45589</v>
      </c>
      <c r="U1237" s="151">
        <v>45611</v>
      </c>
      <c r="V1237" s="151">
        <v>45611</v>
      </c>
      <c r="W1237" s="2">
        <f>VLOOKUP(Table1[[#This Row],[Status]],Auxiliar!$B$16:$D$24,3,0)*Table1[[#This Row],[Estimação (horas)]]</f>
        <v>0.1</v>
      </c>
      <c r="X1237" s="202"/>
    </row>
    <row r="1238" spans="2:24" ht="17.7" hidden="1"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1192</v>
      </c>
      <c r="L1238" s="45" t="s">
        <v>1193</v>
      </c>
      <c r="M1238" s="20" t="s">
        <v>1194</v>
      </c>
      <c r="N1238" s="47">
        <v>45667</v>
      </c>
      <c r="O1238" s="112">
        <v>0.1</v>
      </c>
      <c r="P1238" s="2"/>
      <c r="Q1238" s="389"/>
      <c r="R1238" s="151">
        <v>45589</v>
      </c>
      <c r="S1238" s="151"/>
      <c r="T1238" s="151">
        <v>45589</v>
      </c>
      <c r="U1238" s="151">
        <v>45624</v>
      </c>
      <c r="V1238" s="151">
        <v>45624</v>
      </c>
      <c r="W1238" s="2">
        <f>VLOOKUP(Table1[[#This Row],[Status]],Auxiliar!$B$16:$D$24,3,0)*Table1[[#This Row],[Estimação (horas)]]</f>
        <v>0.1</v>
      </c>
      <c r="X1238" s="202"/>
    </row>
    <row r="1239" spans="2:24" ht="17.7" hidden="1" customHeight="1">
      <c r="B1239" s="38" t="s">
        <v>26</v>
      </c>
      <c r="C1239" s="38" t="s">
        <v>26</v>
      </c>
      <c r="D1239" s="19" t="s">
        <v>399</v>
      </c>
      <c r="E1239" s="384" t="s">
        <v>38</v>
      </c>
      <c r="F1239" s="19" t="s">
        <v>368</v>
      </c>
      <c r="G1239" s="19" t="s">
        <v>433</v>
      </c>
      <c r="H1239" s="58" t="str">
        <f>Table1[[#This Row],[Tabela]]&amp;Table1[[#This Row],[Campo]]</f>
        <v>lt004_protectionprtctn_id</v>
      </c>
      <c r="I1239" s="2" t="s">
        <v>612</v>
      </c>
      <c r="J1239" s="44">
        <f>VLOOKUP(Table1[[#This Row],[Status]],Auxiliar!$B$16:$C$24,2,0)</f>
        <v>1</v>
      </c>
      <c r="K1239" s="43" t="s">
        <v>1192</v>
      </c>
      <c r="L1239" s="45" t="s">
        <v>1193</v>
      </c>
      <c r="M1239" s="20" t="s">
        <v>1194</v>
      </c>
      <c r="N1239" s="47">
        <v>45642</v>
      </c>
      <c r="O1239" s="112">
        <v>0.1</v>
      </c>
      <c r="P1239" s="2"/>
      <c r="Q1239" s="389"/>
      <c r="R1239" s="151">
        <v>45589</v>
      </c>
      <c r="S1239" s="151"/>
      <c r="T1239" s="151">
        <v>45589</v>
      </c>
      <c r="U1239" s="151">
        <v>45611</v>
      </c>
      <c r="V1239" s="151">
        <v>45611</v>
      </c>
      <c r="W1239" s="2">
        <f>VLOOKUP(Table1[[#This Row],[Status]],Auxiliar!$B$16:$D$24,3,0)*Table1[[#This Row],[Estimação (horas)]]</f>
        <v>0.1</v>
      </c>
      <c r="X1239" s="202"/>
    </row>
    <row r="1240" spans="2:24" ht="17.7" hidden="1" customHeight="1">
      <c r="B1240" s="38" t="s">
        <v>26</v>
      </c>
      <c r="C1240" s="38" t="s">
        <v>26</v>
      </c>
      <c r="D1240" s="19" t="s">
        <v>399</v>
      </c>
      <c r="E1240" s="384" t="s">
        <v>38</v>
      </c>
      <c r="F1240" s="19" t="s">
        <v>368</v>
      </c>
      <c r="G1240" s="19" t="s">
        <v>437</v>
      </c>
      <c r="H1240" s="58" t="str">
        <f>Table1[[#This Row],[Tabela]]&amp;Table1[[#This Row],[Campo]]</f>
        <v>lt004_protectionorgnl_prtctn_vl</v>
      </c>
      <c r="I1240" s="2" t="s">
        <v>612</v>
      </c>
      <c r="J1240" s="44">
        <f>VLOOKUP(Table1[[#This Row],[Status]],Auxiliar!$B$16:$C$24,2,0)</f>
        <v>1</v>
      </c>
      <c r="K1240" s="43" t="s">
        <v>1192</v>
      </c>
      <c r="L1240" s="45" t="s">
        <v>1193</v>
      </c>
      <c r="M1240" s="20" t="s">
        <v>1194</v>
      </c>
      <c r="N1240" s="47">
        <v>45674</v>
      </c>
      <c r="O1240" s="248">
        <v>0.1</v>
      </c>
      <c r="P1240" s="2"/>
      <c r="Q1240" s="389"/>
      <c r="R1240" s="151">
        <v>45595</v>
      </c>
      <c r="S1240" s="151"/>
      <c r="T1240" s="151">
        <v>45595</v>
      </c>
      <c r="U1240" s="151">
        <v>45611</v>
      </c>
      <c r="V1240" s="151">
        <v>45611</v>
      </c>
      <c r="W1240" s="2">
        <f>VLOOKUP(Table1[[#This Row],[Status]],Auxiliar!$B$16:$D$24,3,0)*Table1[[#This Row],[Estimação (horas)]]</f>
        <v>0.1</v>
      </c>
      <c r="X1240" s="202"/>
    </row>
    <row r="1241" spans="2:24" ht="52.2" hidden="1" customHeight="1">
      <c r="B1241" s="40" t="s">
        <v>26</v>
      </c>
      <c r="C1241" s="40" t="s">
        <v>26</v>
      </c>
      <c r="D1241" s="36" t="s">
        <v>1290</v>
      </c>
      <c r="E1241" s="41" t="s">
        <v>1272</v>
      </c>
      <c r="F1241" s="39" t="s">
        <v>368</v>
      </c>
      <c r="G1241" s="37" t="s">
        <v>378</v>
      </c>
      <c r="H1241" s="59" t="str">
        <f>Table1[[#This Row],[Tabela]]&amp;Table1[[#This Row],[Campo]]</f>
        <v>lt004_protectionmthd_usd_prtctn_scp_3</v>
      </c>
      <c r="I1241" s="2" t="s">
        <v>612</v>
      </c>
      <c r="J1241" s="44">
        <f>VLOOKUP(Table1[[#This Row],[Status]],Auxiliar!$B$16:$C$24,2,0)</f>
        <v>1</v>
      </c>
      <c r="K1241" s="44" t="s">
        <v>1187</v>
      </c>
      <c r="L1241" s="45" t="s">
        <v>1193</v>
      </c>
      <c r="M1241" s="20" t="s">
        <v>1194</v>
      </c>
      <c r="N1241" s="47">
        <v>45667</v>
      </c>
      <c r="O1241" s="20">
        <f>INDEX(Auxiliar!$D$5:$F$13,MATCH(Table1[[#This Row],[Tipologia_Testes]],Auxiliar!$B$5:$B$13,0),MATCH(Table1[[#This Row],[Complexidade]],Auxiliar!$D$4:$F$4,0))</f>
        <v>2</v>
      </c>
      <c r="P1241" s="42" t="s">
        <v>1291</v>
      </c>
      <c r="Q1241" s="389"/>
      <c r="R1241" s="151">
        <v>45622</v>
      </c>
      <c r="S1241" s="151"/>
      <c r="T1241" s="151"/>
      <c r="U1241" s="151">
        <v>45631</v>
      </c>
      <c r="V1241" s="151">
        <v>45631</v>
      </c>
      <c r="W1241" s="2">
        <f>VLOOKUP(Table1[[#This Row],[Status]],Auxiliar!$B$16:$D$24,3,0)*Table1[[#This Row],[Estimação (horas)]]</f>
        <v>2</v>
      </c>
      <c r="X1241" s="113"/>
    </row>
    <row r="1242" spans="2:24" ht="17.7" hidden="1" customHeight="1">
      <c r="B1242" s="38" t="s">
        <v>26</v>
      </c>
      <c r="C1242" s="38" t="s">
        <v>26</v>
      </c>
      <c r="D1242" s="38" t="s">
        <v>1290</v>
      </c>
      <c r="E1242" s="38" t="s">
        <v>1272</v>
      </c>
      <c r="F1242" s="38" t="s">
        <v>368</v>
      </c>
      <c r="G1242" s="38" t="s">
        <v>378</v>
      </c>
      <c r="H1242" s="58" t="str">
        <f>Table1[[#This Row],[Tabela]]&amp;Table1[[#This Row],[Campo]]</f>
        <v>lt004_protectionmthd_usd_prtctn_scp_3</v>
      </c>
      <c r="I1242" s="2" t="s">
        <v>612</v>
      </c>
      <c r="J1242" s="44">
        <f>VLOOKUP(Table1[[#This Row],[Status]],Auxiliar!$B$16:$C$24,2,0)</f>
        <v>1</v>
      </c>
      <c r="K1242" s="44" t="s">
        <v>1188</v>
      </c>
      <c r="L1242" s="45" t="s">
        <v>1193</v>
      </c>
      <c r="M1242" s="20" t="s">
        <v>1194</v>
      </c>
      <c r="N1242" s="47">
        <v>45667</v>
      </c>
      <c r="O1242" s="20">
        <f>INDEX(Auxiliar!$D$5:$F$13,MATCH(Table1[[#This Row],[Tipologia_Testes]],Auxiliar!$B$5:$B$13,0),MATCH(Table1[[#This Row],[Complexidade]],Auxiliar!$D$4:$F$4,0))</f>
        <v>2</v>
      </c>
      <c r="P1242" s="42" t="s">
        <v>1291</v>
      </c>
      <c r="Q1242" s="389"/>
      <c r="R1242" s="151">
        <v>45622</v>
      </c>
      <c r="S1242" s="151"/>
      <c r="T1242" s="151"/>
      <c r="U1242" s="151">
        <v>45631</v>
      </c>
      <c r="V1242" s="151">
        <v>45631</v>
      </c>
      <c r="W1242" s="2">
        <f>VLOOKUP(Table1[[#This Row],[Status]],Auxiliar!$B$16:$D$24,3,0)*Table1[[#This Row],[Estimação (horas)]]</f>
        <v>2</v>
      </c>
      <c r="X1242" s="113"/>
    </row>
    <row r="1243" spans="2:24" ht="17.7" hidden="1" customHeight="1">
      <c r="B1243" s="38" t="s">
        <v>26</v>
      </c>
      <c r="C1243" s="38" t="s">
        <v>26</v>
      </c>
      <c r="D1243" s="38" t="s">
        <v>1290</v>
      </c>
      <c r="E1243" s="38" t="s">
        <v>1272</v>
      </c>
      <c r="F1243" s="38" t="s">
        <v>368</v>
      </c>
      <c r="G1243" s="38" t="s">
        <v>378</v>
      </c>
      <c r="H1243" s="58" t="str">
        <f>Table1[[#This Row],[Tabela]]&amp;Table1[[#This Row],[Campo]]</f>
        <v>lt004_protectionmthd_usd_prtctn_scp_3</v>
      </c>
      <c r="I1243" s="2" t="s">
        <v>612</v>
      </c>
      <c r="J1243" s="44">
        <f>VLOOKUP(Table1[[#This Row],[Status]],Auxiliar!$B$16:$C$24,2,0)</f>
        <v>1</v>
      </c>
      <c r="K1243" s="44" t="s">
        <v>1190</v>
      </c>
      <c r="L1243" s="45" t="s">
        <v>1193</v>
      </c>
      <c r="M1243" s="20" t="s">
        <v>1194</v>
      </c>
      <c r="N1243" s="47">
        <v>45667</v>
      </c>
      <c r="O1243" s="20">
        <f>INDEX(Auxiliar!$D$5:$F$13,MATCH(Table1[[#This Row],[Tipologia_Testes]],Auxiliar!$B$5:$B$13,0),MATCH(Table1[[#This Row],[Complexidade]],Auxiliar!$D$4:$F$4,0))</f>
        <v>0.1</v>
      </c>
      <c r="P1243" s="42" t="s">
        <v>1291</v>
      </c>
      <c r="Q1243" s="389"/>
      <c r="R1243" s="151">
        <v>45622</v>
      </c>
      <c r="S1243" s="151"/>
      <c r="T1243" s="151"/>
      <c r="U1243" s="151">
        <v>45631</v>
      </c>
      <c r="V1243" s="151">
        <v>45631</v>
      </c>
      <c r="W1243" s="2">
        <f>VLOOKUP(Table1[[#This Row],[Status]],Auxiliar!$B$16:$D$24,3,0)*Table1[[#This Row],[Estimação (horas)]]</f>
        <v>0.1</v>
      </c>
      <c r="X1243" s="113"/>
    </row>
    <row r="1244" spans="2:24" ht="52.2" hidden="1" customHeight="1">
      <c r="B1244" s="40" t="s">
        <v>26</v>
      </c>
      <c r="C1244" s="40" t="s">
        <v>26</v>
      </c>
      <c r="D1244" s="36" t="s">
        <v>1290</v>
      </c>
      <c r="E1244" s="41" t="s">
        <v>1272</v>
      </c>
      <c r="F1244" s="39" t="s">
        <v>368</v>
      </c>
      <c r="G1244" s="37" t="s">
        <v>377</v>
      </c>
      <c r="H1244" s="59" t="str">
        <f>Table1[[#This Row],[Tabela]]&amp;Table1[[#This Row],[Campo]]</f>
        <v>lt004_protectionmthd_usd_prtctn_scp_2</v>
      </c>
      <c r="I1244" s="2" t="s">
        <v>612</v>
      </c>
      <c r="J1244" s="44">
        <f>VLOOKUP(Table1[[#This Row],[Status]],Auxiliar!$B$16:$C$24,2,0)</f>
        <v>1</v>
      </c>
      <c r="K1244" s="44" t="s">
        <v>1187</v>
      </c>
      <c r="L1244" s="45" t="s">
        <v>1193</v>
      </c>
      <c r="M1244" s="20" t="s">
        <v>1194</v>
      </c>
      <c r="N1244" s="47">
        <v>45667</v>
      </c>
      <c r="O1244" s="20">
        <f>INDEX(Auxiliar!$D$5:$F$13,MATCH(Table1[[#This Row],[Tipologia_Testes]],Auxiliar!$B$5:$B$13,0),MATCH(Table1[[#This Row],[Complexidade]],Auxiliar!$D$4:$F$4,0))</f>
        <v>2</v>
      </c>
      <c r="P1244" s="42" t="s">
        <v>1291</v>
      </c>
      <c r="Q1244" s="151"/>
      <c r="R1244" s="151">
        <v>45622</v>
      </c>
      <c r="S1244" s="151"/>
      <c r="T1244" s="151"/>
      <c r="U1244" s="151">
        <v>45631</v>
      </c>
      <c r="V1244" s="151">
        <v>45631</v>
      </c>
      <c r="W1244" s="2">
        <f>VLOOKUP(Table1[[#This Row],[Status]],Auxiliar!$B$16:$D$24,3,0)*Table1[[#This Row],[Estimação (horas)]]</f>
        <v>2</v>
      </c>
      <c r="X1244" s="113"/>
    </row>
    <row r="1245" spans="2:24" ht="17.7" hidden="1" customHeight="1">
      <c r="B1245" s="38" t="s">
        <v>26</v>
      </c>
      <c r="C1245" s="38" t="s">
        <v>26</v>
      </c>
      <c r="D1245" s="38" t="s">
        <v>1290</v>
      </c>
      <c r="E1245" s="38" t="s">
        <v>1272</v>
      </c>
      <c r="F1245" s="38" t="s">
        <v>368</v>
      </c>
      <c r="G1245" s="38" t="s">
        <v>377</v>
      </c>
      <c r="H1245" s="58" t="str">
        <f>Table1[[#This Row],[Tabela]]&amp;Table1[[#This Row],[Campo]]</f>
        <v>lt004_protectionmthd_usd_prtctn_scp_2</v>
      </c>
      <c r="I1245" s="2" t="s">
        <v>612</v>
      </c>
      <c r="J1245" s="44">
        <f>VLOOKUP(Table1[[#This Row],[Status]],Auxiliar!$B$16:$C$24,2,0)</f>
        <v>1</v>
      </c>
      <c r="K1245" s="44" t="s">
        <v>1188</v>
      </c>
      <c r="L1245" s="45" t="s">
        <v>1193</v>
      </c>
      <c r="M1245" s="20" t="s">
        <v>1194</v>
      </c>
      <c r="N1245" s="47">
        <v>45667</v>
      </c>
      <c r="O1245" s="20">
        <f>INDEX(Auxiliar!$D$5:$F$13,MATCH(Table1[[#This Row],[Tipologia_Testes]],Auxiliar!$B$5:$B$13,0),MATCH(Table1[[#This Row],[Complexidade]],Auxiliar!$D$4:$F$4,0))</f>
        <v>2</v>
      </c>
      <c r="P1245" s="42" t="s">
        <v>1291</v>
      </c>
      <c r="Q1245" s="151"/>
      <c r="R1245" s="151">
        <v>45622</v>
      </c>
      <c r="S1245" s="151"/>
      <c r="T1245" s="151"/>
      <c r="U1245" s="151">
        <v>45631</v>
      </c>
      <c r="V1245" s="151">
        <v>45631</v>
      </c>
      <c r="W1245" s="2">
        <f>VLOOKUP(Table1[[#This Row],[Status]],Auxiliar!$B$16:$D$24,3,0)*Table1[[#This Row],[Estimação (horas)]]</f>
        <v>2</v>
      </c>
      <c r="X1245" s="113"/>
    </row>
    <row r="1246" spans="2:24" ht="17.7" hidden="1" customHeight="1">
      <c r="B1246" s="38" t="s">
        <v>26</v>
      </c>
      <c r="C1246" s="38" t="s">
        <v>26</v>
      </c>
      <c r="D1246" s="38" t="s">
        <v>1290</v>
      </c>
      <c r="E1246" s="38" t="s">
        <v>1272</v>
      </c>
      <c r="F1246" s="38" t="s">
        <v>368</v>
      </c>
      <c r="G1246" s="38" t="s">
        <v>377</v>
      </c>
      <c r="H1246" s="58" t="str">
        <f>Table1[[#This Row],[Tabela]]&amp;Table1[[#This Row],[Campo]]</f>
        <v>lt004_protectionmthd_usd_prtctn_scp_2</v>
      </c>
      <c r="I1246" s="2" t="s">
        <v>612</v>
      </c>
      <c r="J1246" s="44">
        <f>VLOOKUP(Table1[[#This Row],[Status]],Auxiliar!$B$16:$C$24,2,0)</f>
        <v>1</v>
      </c>
      <c r="K1246" s="44" t="s">
        <v>1190</v>
      </c>
      <c r="L1246" s="45" t="s">
        <v>1193</v>
      </c>
      <c r="M1246" s="20" t="s">
        <v>1194</v>
      </c>
      <c r="N1246" s="47">
        <v>45667</v>
      </c>
      <c r="O1246" s="20">
        <f>INDEX(Auxiliar!$D$5:$F$13,MATCH(Table1[[#This Row],[Tipologia_Testes]],Auxiliar!$B$5:$B$13,0),MATCH(Table1[[#This Row],[Complexidade]],Auxiliar!$D$4:$F$4,0))</f>
        <v>0.1</v>
      </c>
      <c r="P1246" s="42" t="s">
        <v>1291</v>
      </c>
      <c r="Q1246" s="151"/>
      <c r="R1246" s="151">
        <v>45622</v>
      </c>
      <c r="S1246" s="151"/>
      <c r="T1246" s="151"/>
      <c r="U1246" s="151">
        <v>45631</v>
      </c>
      <c r="V1246" s="151">
        <v>45631</v>
      </c>
      <c r="W1246" s="2">
        <f>VLOOKUP(Table1[[#This Row],[Status]],Auxiliar!$B$16:$D$24,3,0)*Table1[[#This Row],[Estimação (horas)]]</f>
        <v>0.1</v>
      </c>
      <c r="X1246" s="113"/>
    </row>
    <row r="1247" spans="2:24" ht="52.2" hidden="1" customHeight="1">
      <c r="B1247" s="40" t="s">
        <v>26</v>
      </c>
      <c r="C1247" s="40" t="s">
        <v>26</v>
      </c>
      <c r="D1247" s="36" t="s">
        <v>1290</v>
      </c>
      <c r="E1247" s="41" t="s">
        <v>1272</v>
      </c>
      <c r="F1247" s="39" t="s">
        <v>368</v>
      </c>
      <c r="G1247" s="37" t="s">
        <v>376</v>
      </c>
      <c r="H1247" s="59" t="str">
        <f>Table1[[#This Row],[Tabela]]&amp;Table1[[#This Row],[Campo]]</f>
        <v>lt004_protectionmthd_usd_prtctn_scp_1</v>
      </c>
      <c r="I1247" s="2" t="s">
        <v>612</v>
      </c>
      <c r="J1247" s="44">
        <f>VLOOKUP(Table1[[#This Row],[Status]],Auxiliar!$B$16:$C$24,2,0)</f>
        <v>1</v>
      </c>
      <c r="K1247" s="44" t="s">
        <v>1187</v>
      </c>
      <c r="L1247" s="45" t="s">
        <v>1193</v>
      </c>
      <c r="M1247" s="20" t="s">
        <v>1194</v>
      </c>
      <c r="N1247" s="47">
        <v>45667</v>
      </c>
      <c r="O1247" s="20">
        <f>INDEX(Auxiliar!$D$5:$F$13,MATCH(Table1[[#This Row],[Tipologia_Testes]],Auxiliar!$B$5:$B$13,0),MATCH(Table1[[#This Row],[Complexidade]],Auxiliar!$D$4:$F$4,0))</f>
        <v>2</v>
      </c>
      <c r="P1247" s="42" t="s">
        <v>1291</v>
      </c>
      <c r="Q1247" s="151"/>
      <c r="R1247" s="151">
        <v>45622</v>
      </c>
      <c r="S1247" s="151"/>
      <c r="T1247" s="151"/>
      <c r="U1247" s="151">
        <v>45631</v>
      </c>
      <c r="V1247" s="151">
        <v>45631</v>
      </c>
      <c r="W1247" s="2">
        <f>VLOOKUP(Table1[[#This Row],[Status]],Auxiliar!$B$16:$D$24,3,0)*Table1[[#This Row],[Estimação (horas)]]</f>
        <v>2</v>
      </c>
      <c r="X1247" s="113"/>
    </row>
    <row r="1248" spans="2:24" ht="17.7" hidden="1" customHeight="1">
      <c r="B1248" s="38" t="s">
        <v>26</v>
      </c>
      <c r="C1248" s="38" t="s">
        <v>26</v>
      </c>
      <c r="D1248" s="38" t="s">
        <v>1290</v>
      </c>
      <c r="E1248" s="38" t="s">
        <v>1272</v>
      </c>
      <c r="F1248" s="38" t="s">
        <v>368</v>
      </c>
      <c r="G1248" s="38" t="s">
        <v>376</v>
      </c>
      <c r="H1248" s="58" t="str">
        <f>Table1[[#This Row],[Tabela]]&amp;Table1[[#This Row],[Campo]]</f>
        <v>lt004_protectionmthd_usd_prtctn_scp_1</v>
      </c>
      <c r="I1248" s="2" t="s">
        <v>612</v>
      </c>
      <c r="J1248" s="44">
        <f>VLOOKUP(Table1[[#This Row],[Status]],Auxiliar!$B$16:$C$24,2,0)</f>
        <v>1</v>
      </c>
      <c r="K1248" s="44" t="s">
        <v>1188</v>
      </c>
      <c r="L1248" s="45" t="s">
        <v>1193</v>
      </c>
      <c r="M1248" s="20" t="s">
        <v>1194</v>
      </c>
      <c r="N1248" s="47">
        <v>45667</v>
      </c>
      <c r="O1248" s="20">
        <f>INDEX(Auxiliar!$D$5:$F$13,MATCH(Table1[[#This Row],[Tipologia_Testes]],Auxiliar!$B$5:$B$13,0),MATCH(Table1[[#This Row],[Complexidade]],Auxiliar!$D$4:$F$4,0))</f>
        <v>2</v>
      </c>
      <c r="P1248" s="42" t="s">
        <v>1291</v>
      </c>
      <c r="Q1248" s="151"/>
      <c r="R1248" s="151">
        <v>45622</v>
      </c>
      <c r="S1248" s="151"/>
      <c r="T1248" s="151"/>
      <c r="U1248" s="151">
        <v>45631</v>
      </c>
      <c r="V1248" s="151">
        <v>45631</v>
      </c>
      <c r="W1248" s="2">
        <f>VLOOKUP(Table1[[#This Row],[Status]],Auxiliar!$B$16:$D$24,3,0)*Table1[[#This Row],[Estimação (horas)]]</f>
        <v>2</v>
      </c>
      <c r="X1248" s="113"/>
    </row>
    <row r="1249" spans="2:24" ht="17.7" hidden="1" customHeight="1">
      <c r="B1249" s="38" t="s">
        <v>26</v>
      </c>
      <c r="C1249" s="38" t="s">
        <v>26</v>
      </c>
      <c r="D1249" s="38" t="s">
        <v>1290</v>
      </c>
      <c r="E1249" s="38" t="s">
        <v>1272</v>
      </c>
      <c r="F1249" s="38" t="s">
        <v>368</v>
      </c>
      <c r="G1249" s="38" t="s">
        <v>376</v>
      </c>
      <c r="H1249" s="58" t="str">
        <f>Table1[[#This Row],[Tabela]]&amp;Table1[[#This Row],[Campo]]</f>
        <v>lt004_protectionmthd_usd_prtctn_scp_1</v>
      </c>
      <c r="I1249" s="2" t="s">
        <v>612</v>
      </c>
      <c r="J1249" s="44">
        <f>VLOOKUP(Table1[[#This Row],[Status]],Auxiliar!$B$16:$C$24,2,0)</f>
        <v>1</v>
      </c>
      <c r="K1249" s="44" t="s">
        <v>1190</v>
      </c>
      <c r="L1249" s="45" t="s">
        <v>1193</v>
      </c>
      <c r="M1249" s="20" t="s">
        <v>1194</v>
      </c>
      <c r="N1249" s="47">
        <v>45667</v>
      </c>
      <c r="O1249" s="20">
        <f>INDEX(Auxiliar!$D$5:$F$13,MATCH(Table1[[#This Row],[Tipologia_Testes]],Auxiliar!$B$5:$B$13,0),MATCH(Table1[[#This Row],[Complexidade]],Auxiliar!$D$4:$F$4,0))</f>
        <v>0.1</v>
      </c>
      <c r="P1249" s="42" t="s">
        <v>1291</v>
      </c>
      <c r="Q1249" s="151"/>
      <c r="R1249" s="151">
        <v>45622</v>
      </c>
      <c r="S1249" s="151"/>
      <c r="T1249" s="151"/>
      <c r="U1249" s="151">
        <v>45631</v>
      </c>
      <c r="V1249" s="151">
        <v>45631</v>
      </c>
      <c r="W1249" s="2">
        <f>VLOOKUP(Table1[[#This Row],[Status]],Auxiliar!$B$16:$D$24,3,0)*Table1[[#This Row],[Estimação (horas)]]</f>
        <v>0.1</v>
      </c>
      <c r="X1249" s="113"/>
    </row>
    <row r="1250" spans="2:24" ht="17.7" hidden="1"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1187</v>
      </c>
      <c r="L1250" s="45" t="s">
        <v>1193</v>
      </c>
      <c r="M1250" s="20" t="s">
        <v>1194</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7" hidden="1"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1188</v>
      </c>
      <c r="L1251" s="45" t="s">
        <v>1193</v>
      </c>
      <c r="M1251" s="20" t="s">
        <v>1194</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7" hidden="1"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1190</v>
      </c>
      <c r="L1252" s="45" t="s">
        <v>1193</v>
      </c>
      <c r="M1252" s="20" t="s">
        <v>1194</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7" hidden="1"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1187</v>
      </c>
      <c r="L1253" s="45" t="s">
        <v>1193</v>
      </c>
      <c r="M1253" s="20" t="s">
        <v>1194</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7" hidden="1"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1188</v>
      </c>
      <c r="L1254" s="45" t="s">
        <v>1193</v>
      </c>
      <c r="M1254" s="20" t="s">
        <v>1194</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7" hidden="1"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1190</v>
      </c>
      <c r="L1255" s="45" t="s">
        <v>1193</v>
      </c>
      <c r="M1255" s="20" t="s">
        <v>1194</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7" hidden="1" customHeight="1">
      <c r="B1256" s="40" t="s">
        <v>26</v>
      </c>
      <c r="C1256" s="40" t="s">
        <v>26</v>
      </c>
      <c r="D1256" s="36" t="s">
        <v>477</v>
      </c>
      <c r="E1256" s="41" t="s">
        <v>478</v>
      </c>
      <c r="F1256" s="39" t="s">
        <v>368</v>
      </c>
      <c r="G1256" s="37" t="s">
        <v>1296</v>
      </c>
      <c r="H1256" s="59" t="str">
        <f>Table1[[#This Row],[Tabela]]&amp;Table1[[#This Row],[Campo]]</f>
        <v>lt004_protectionflg_exec</v>
      </c>
      <c r="I1256" s="2" t="s">
        <v>611</v>
      </c>
      <c r="J1256" s="44">
        <f>VLOOKUP(Table1[[#This Row],[Status]],Auxiliar!$B$16:$C$24,2,0)</f>
        <v>0</v>
      </c>
      <c r="K1256" s="44" t="s">
        <v>1187</v>
      </c>
      <c r="L1256" s="45" t="s">
        <v>1193</v>
      </c>
      <c r="M1256" s="20" t="s">
        <v>1194</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7" hidden="1" customHeight="1">
      <c r="B1257" s="38" t="s">
        <v>26</v>
      </c>
      <c r="C1257" s="38" t="s">
        <v>26</v>
      </c>
      <c r="D1257" s="38" t="s">
        <v>477</v>
      </c>
      <c r="E1257" s="38" t="s">
        <v>478</v>
      </c>
      <c r="F1257" s="38" t="s">
        <v>368</v>
      </c>
      <c r="G1257" s="38" t="s">
        <v>1296</v>
      </c>
      <c r="H1257" s="58" t="str">
        <f>Table1[[#This Row],[Tabela]]&amp;Table1[[#This Row],[Campo]]</f>
        <v>lt004_protectionflg_exec</v>
      </c>
      <c r="I1257" s="2" t="s">
        <v>611</v>
      </c>
      <c r="J1257" s="44">
        <f>VLOOKUP(Table1[[#This Row],[Status]],Auxiliar!$B$16:$C$24,2,0)</f>
        <v>0</v>
      </c>
      <c r="K1257" s="44" t="s">
        <v>1188</v>
      </c>
      <c r="L1257" s="45" t="s">
        <v>1193</v>
      </c>
      <c r="M1257" s="20" t="s">
        <v>1194</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7" hidden="1" customHeight="1">
      <c r="B1258" s="38" t="s">
        <v>26</v>
      </c>
      <c r="C1258" s="38" t="s">
        <v>26</v>
      </c>
      <c r="D1258" s="38" t="s">
        <v>477</v>
      </c>
      <c r="E1258" s="38" t="s">
        <v>478</v>
      </c>
      <c r="F1258" s="38" t="s">
        <v>368</v>
      </c>
      <c r="G1258" s="38" t="s">
        <v>1296</v>
      </c>
      <c r="H1258" s="58" t="str">
        <f>Table1[[#This Row],[Tabela]]&amp;Table1[[#This Row],[Campo]]</f>
        <v>lt004_protectionflg_exec</v>
      </c>
      <c r="I1258" s="2" t="s">
        <v>611</v>
      </c>
      <c r="J1258" s="44">
        <f>VLOOKUP(Table1[[#This Row],[Status]],Auxiliar!$B$16:$C$24,2,0)</f>
        <v>0</v>
      </c>
      <c r="K1258" s="44" t="s">
        <v>1190</v>
      </c>
      <c r="L1258" s="45" t="s">
        <v>1193</v>
      </c>
      <c r="M1258" s="20" t="s">
        <v>1194</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4.950000000000003" hidden="1"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1187</v>
      </c>
      <c r="L1259" s="45" t="s">
        <v>1193</v>
      </c>
      <c r="M1259" s="20" t="s">
        <v>1194</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7" hidden="1"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1188</v>
      </c>
      <c r="L1260" s="45" t="s">
        <v>1193</v>
      </c>
      <c r="M1260" s="20" t="s">
        <v>1194</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7" hidden="1"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1190</v>
      </c>
      <c r="L1261" s="45" t="s">
        <v>1193</v>
      </c>
      <c r="M1261" s="20" t="s">
        <v>1194</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4.950000000000003" hidden="1"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1187</v>
      </c>
      <c r="L1262" s="45" t="s">
        <v>1193</v>
      </c>
      <c r="M1262" s="20" t="s">
        <v>1194</v>
      </c>
      <c r="N1262" s="47">
        <v>45632</v>
      </c>
      <c r="O1262" s="20">
        <f>INDEX(Auxiliar!$D$5:$F$13,MATCH(Table1[[#This Row],[Tipologia_Testes]],Auxiliar!$B$5:$B$13,0),MATCH(Table1[[#This Row],[Complexidade]],Auxiliar!$D$4:$F$4,0))</f>
        <v>2</v>
      </c>
      <c r="P1262" s="42" t="s">
        <v>1279</v>
      </c>
      <c r="Q1262" s="151"/>
      <c r="R1262" s="151">
        <v>45583</v>
      </c>
      <c r="S1262" s="151"/>
      <c r="T1262" s="151">
        <v>45583</v>
      </c>
      <c r="U1262" s="151">
        <v>45596</v>
      </c>
      <c r="V1262" s="151">
        <v>45596</v>
      </c>
      <c r="W1262" s="2">
        <f>VLOOKUP(Table1[[#This Row],[Status]],Auxiliar!$B$16:$D$24,3,0)*Table1[[#This Row],[Estimação (horas)]]</f>
        <v>0.5</v>
      </c>
      <c r="X1262" s="113"/>
    </row>
    <row r="1263" spans="2:24" ht="17.7" hidden="1"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1188</v>
      </c>
      <c r="L1263" s="45" t="s">
        <v>1193</v>
      </c>
      <c r="M1263" s="20" t="s">
        <v>1194</v>
      </c>
      <c r="N1263" s="47">
        <v>45632</v>
      </c>
      <c r="O1263" s="20">
        <f>INDEX(Auxiliar!$D$5:$F$13,MATCH(Table1[[#This Row],[Tipologia_Testes]],Auxiliar!$B$5:$B$13,0),MATCH(Table1[[#This Row],[Complexidade]],Auxiliar!$D$4:$F$4,0))</f>
        <v>2</v>
      </c>
      <c r="P1263" s="42" t="s">
        <v>1279</v>
      </c>
      <c r="Q1263" s="151"/>
      <c r="R1263" s="151">
        <v>45583</v>
      </c>
      <c r="S1263" s="151"/>
      <c r="T1263" s="151">
        <v>45583</v>
      </c>
      <c r="U1263" s="151">
        <v>45596</v>
      </c>
      <c r="V1263" s="151">
        <v>45596</v>
      </c>
      <c r="W1263" s="2">
        <f>VLOOKUP(Table1[[#This Row],[Status]],Auxiliar!$B$16:$D$24,3,0)*Table1[[#This Row],[Estimação (horas)]]</f>
        <v>0.5</v>
      </c>
      <c r="X1263" s="113"/>
    </row>
    <row r="1264" spans="2:24" ht="17.7" hidden="1"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1190</v>
      </c>
      <c r="L1264" s="45" t="s">
        <v>1193</v>
      </c>
      <c r="M1264" s="20" t="s">
        <v>1194</v>
      </c>
      <c r="N1264" s="47">
        <v>45632</v>
      </c>
      <c r="O1264" s="20">
        <f>INDEX(Auxiliar!$D$5:$F$13,MATCH(Table1[[#This Row],[Tipologia_Testes]],Auxiliar!$B$5:$B$13,0),MATCH(Table1[[#This Row],[Complexidade]],Auxiliar!$D$4:$F$4,0))</f>
        <v>0.1</v>
      </c>
      <c r="P1264" s="42" t="s">
        <v>1279</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4.950000000000003" hidden="1"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1187</v>
      </c>
      <c r="L1265" s="45" t="s">
        <v>1193</v>
      </c>
      <c r="M1265" s="20" t="s">
        <v>1194</v>
      </c>
      <c r="N1265" s="47">
        <v>45632</v>
      </c>
      <c r="O1265" s="20">
        <f>INDEX(Auxiliar!$D$5:$F$13,MATCH(Table1[[#This Row],[Tipologia_Testes]],Auxiliar!$B$5:$B$13,0),MATCH(Table1[[#This Row],[Complexidade]],Auxiliar!$D$4:$F$4,0))</f>
        <v>2</v>
      </c>
      <c r="P1265" s="42" t="s">
        <v>1279</v>
      </c>
      <c r="Q1265" s="151"/>
      <c r="R1265" s="151">
        <v>45583</v>
      </c>
      <c r="S1265" s="151"/>
      <c r="T1265" s="151">
        <v>45583</v>
      </c>
      <c r="U1265" s="151">
        <v>45596</v>
      </c>
      <c r="V1265" s="151">
        <v>45596</v>
      </c>
      <c r="W1265" s="2">
        <f>VLOOKUP(Table1[[#This Row],[Status]],Auxiliar!$B$16:$D$24,3,0)*Table1[[#This Row],[Estimação (horas)]]</f>
        <v>0.5</v>
      </c>
      <c r="X1265" s="113"/>
    </row>
    <row r="1266" spans="2:24" ht="17.7" hidden="1"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1188</v>
      </c>
      <c r="L1266" s="45" t="s">
        <v>1193</v>
      </c>
      <c r="M1266" s="20" t="s">
        <v>1194</v>
      </c>
      <c r="N1266" s="47">
        <v>45632</v>
      </c>
      <c r="O1266" s="20">
        <f>INDEX(Auxiliar!$D$5:$F$13,MATCH(Table1[[#This Row],[Tipologia_Testes]],Auxiliar!$B$5:$B$13,0),MATCH(Table1[[#This Row],[Complexidade]],Auxiliar!$D$4:$F$4,0))</f>
        <v>2</v>
      </c>
      <c r="P1266" s="42" t="s">
        <v>1279</v>
      </c>
      <c r="Q1266" s="151"/>
      <c r="R1266" s="151">
        <v>45583</v>
      </c>
      <c r="S1266" s="151"/>
      <c r="T1266" s="151">
        <v>45583</v>
      </c>
      <c r="U1266" s="151">
        <v>45596</v>
      </c>
      <c r="V1266" s="151">
        <v>45596</v>
      </c>
      <c r="W1266" s="2">
        <f>VLOOKUP(Table1[[#This Row],[Status]],Auxiliar!$B$16:$D$24,3,0)*Table1[[#This Row],[Estimação (horas)]]</f>
        <v>0.5</v>
      </c>
      <c r="X1266" s="113"/>
    </row>
    <row r="1267" spans="2:24" ht="17.7" hidden="1"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1190</v>
      </c>
      <c r="L1267" s="45" t="s">
        <v>1193</v>
      </c>
      <c r="M1267" s="20" t="s">
        <v>1194</v>
      </c>
      <c r="N1267" s="47">
        <v>45632</v>
      </c>
      <c r="O1267" s="20">
        <f>INDEX(Auxiliar!$D$5:$F$13,MATCH(Table1[[#This Row],[Tipologia_Testes]],Auxiliar!$B$5:$B$13,0),MATCH(Table1[[#This Row],[Complexidade]],Auxiliar!$D$4:$F$4,0))</f>
        <v>0.1</v>
      </c>
      <c r="P1267" s="42" t="s">
        <v>1279</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4.950000000000003" hidden="1" customHeight="1">
      <c r="B1268" s="40" t="s">
        <v>26</v>
      </c>
      <c r="C1268" s="40" t="s">
        <v>26</v>
      </c>
      <c r="D1268" s="36" t="s">
        <v>1290</v>
      </c>
      <c r="E1268" s="41" t="s">
        <v>1272</v>
      </c>
      <c r="F1268" s="39" t="s">
        <v>368</v>
      </c>
      <c r="G1268" s="37" t="s">
        <v>372</v>
      </c>
      <c r="H1268" s="59" t="str">
        <f>Table1[[#This Row],[Tabela]]&amp;Table1[[#This Row],[Campo]]</f>
        <v>lt004_protectionepc_lbl</v>
      </c>
      <c r="I1268" s="2" t="s">
        <v>612</v>
      </c>
      <c r="J1268" s="44">
        <f>VLOOKUP(Table1[[#This Row],[Status]],Auxiliar!$B$16:$C$24,2,0)</f>
        <v>1</v>
      </c>
      <c r="K1268" s="44" t="s">
        <v>1187</v>
      </c>
      <c r="L1268" s="45" t="s">
        <v>1193</v>
      </c>
      <c r="M1268" s="20" t="s">
        <v>1194</v>
      </c>
      <c r="N1268" s="47">
        <v>45667</v>
      </c>
      <c r="O1268" s="20">
        <f>INDEX(Auxiliar!$D$5:$F$13,MATCH(Table1[[#This Row],[Tipologia_Testes]],Auxiliar!$B$5:$B$13,0),MATCH(Table1[[#This Row],[Complexidade]],Auxiliar!$D$4:$F$4,0))</f>
        <v>2</v>
      </c>
      <c r="P1268" s="42" t="s">
        <v>1291</v>
      </c>
      <c r="Q1268" s="42"/>
      <c r="R1268" s="151">
        <v>45583</v>
      </c>
      <c r="S1268" s="151"/>
      <c r="T1268" s="151">
        <v>45583</v>
      </c>
      <c r="U1268" s="151">
        <v>45596</v>
      </c>
      <c r="V1268" s="151">
        <v>45596</v>
      </c>
      <c r="W1268" s="2">
        <f>VLOOKUP(Table1[[#This Row],[Status]],Auxiliar!$B$16:$D$24,3,0)*Table1[[#This Row],[Estimação (horas)]]</f>
        <v>2</v>
      </c>
      <c r="X1268" s="113"/>
    </row>
    <row r="1269" spans="2:24" ht="17.7" hidden="1" customHeight="1">
      <c r="B1269" s="38" t="s">
        <v>26</v>
      </c>
      <c r="C1269" s="38" t="s">
        <v>26</v>
      </c>
      <c r="D1269" s="38" t="s">
        <v>1290</v>
      </c>
      <c r="E1269" s="38" t="s">
        <v>1272</v>
      </c>
      <c r="F1269" s="38" t="s">
        <v>368</v>
      </c>
      <c r="G1269" s="38" t="s">
        <v>372</v>
      </c>
      <c r="H1269" s="58" t="str">
        <f>Table1[[#This Row],[Tabela]]&amp;Table1[[#This Row],[Campo]]</f>
        <v>lt004_protectionepc_lbl</v>
      </c>
      <c r="I1269" s="2" t="s">
        <v>612</v>
      </c>
      <c r="J1269" s="44">
        <f>VLOOKUP(Table1[[#This Row],[Status]],Auxiliar!$B$16:$C$24,2,0)</f>
        <v>1</v>
      </c>
      <c r="K1269" s="44" t="s">
        <v>1188</v>
      </c>
      <c r="L1269" s="45" t="s">
        <v>1193</v>
      </c>
      <c r="M1269" s="20" t="s">
        <v>1194</v>
      </c>
      <c r="N1269" s="47">
        <v>45667</v>
      </c>
      <c r="O1269" s="20">
        <f>INDEX(Auxiliar!$D$5:$F$13,MATCH(Table1[[#This Row],[Tipologia_Testes]],Auxiliar!$B$5:$B$13,0),MATCH(Table1[[#This Row],[Complexidade]],Auxiliar!$D$4:$F$4,0))</f>
        <v>2</v>
      </c>
      <c r="P1269" s="42" t="s">
        <v>1291</v>
      </c>
      <c r="Q1269" s="42"/>
      <c r="R1269" s="151">
        <v>45583</v>
      </c>
      <c r="S1269" s="151"/>
      <c r="T1269" s="151">
        <v>45583</v>
      </c>
      <c r="U1269" s="151">
        <v>45596</v>
      </c>
      <c r="V1269" s="151">
        <v>45596</v>
      </c>
      <c r="W1269" s="2">
        <f>VLOOKUP(Table1[[#This Row],[Status]],Auxiliar!$B$16:$D$24,3,0)*Table1[[#This Row],[Estimação (horas)]]</f>
        <v>2</v>
      </c>
      <c r="X1269" s="113"/>
    </row>
    <row r="1270" spans="2:24" ht="17.7" hidden="1" customHeight="1">
      <c r="B1270" s="38" t="s">
        <v>26</v>
      </c>
      <c r="C1270" s="38" t="s">
        <v>26</v>
      </c>
      <c r="D1270" s="38" t="s">
        <v>1290</v>
      </c>
      <c r="E1270" s="38" t="s">
        <v>1272</v>
      </c>
      <c r="F1270" s="38" t="s">
        <v>368</v>
      </c>
      <c r="G1270" s="38" t="s">
        <v>372</v>
      </c>
      <c r="H1270" s="58" t="str">
        <f>Table1[[#This Row],[Tabela]]&amp;Table1[[#This Row],[Campo]]</f>
        <v>lt004_protectionepc_lbl</v>
      </c>
      <c r="I1270" s="2" t="s">
        <v>612</v>
      </c>
      <c r="J1270" s="44">
        <f>VLOOKUP(Table1[[#This Row],[Status]],Auxiliar!$B$16:$C$24,2,0)</f>
        <v>1</v>
      </c>
      <c r="K1270" s="44" t="s">
        <v>1190</v>
      </c>
      <c r="L1270" s="45" t="s">
        <v>1193</v>
      </c>
      <c r="M1270" s="20" t="s">
        <v>1194</v>
      </c>
      <c r="N1270" s="47">
        <v>45667</v>
      </c>
      <c r="O1270" s="20">
        <f>INDEX(Auxiliar!$D$5:$F$13,MATCH(Table1[[#This Row],[Tipologia_Testes]],Auxiliar!$B$5:$B$13,0),MATCH(Table1[[#This Row],[Complexidade]],Auxiliar!$D$4:$F$4,0))</f>
        <v>0.1</v>
      </c>
      <c r="P1270" s="42" t="s">
        <v>1291</v>
      </c>
      <c r="Q1270" s="42"/>
      <c r="R1270" s="151">
        <v>45583</v>
      </c>
      <c r="S1270" s="151"/>
      <c r="T1270" s="151">
        <v>45583</v>
      </c>
      <c r="U1270" s="151">
        <v>45596</v>
      </c>
      <c r="V1270" s="151">
        <v>45596</v>
      </c>
      <c r="W1270" s="2">
        <f>VLOOKUP(Table1[[#This Row],[Status]],Auxiliar!$B$16:$D$24,3,0)*Table1[[#This Row],[Estimação (horas)]]</f>
        <v>0.1</v>
      </c>
      <c r="X1270" s="113"/>
    </row>
    <row r="1271" spans="2:24" ht="34.950000000000003" hidden="1" customHeight="1">
      <c r="B1271" s="40" t="s">
        <v>26</v>
      </c>
      <c r="C1271" s="40" t="s">
        <v>26</v>
      </c>
      <c r="D1271" s="36" t="s">
        <v>1290</v>
      </c>
      <c r="E1271" s="41" t="s">
        <v>1272</v>
      </c>
      <c r="F1271" s="39" t="s">
        <v>368</v>
      </c>
      <c r="G1271" s="37" t="s">
        <v>370</v>
      </c>
      <c r="H1271" s="59" t="str">
        <f>Table1[[#This Row],[Tabela]]&amp;Table1[[#This Row],[Campo]]</f>
        <v>lt004_protectionep_scr</v>
      </c>
      <c r="I1271" s="2" t="s">
        <v>612</v>
      </c>
      <c r="J1271" s="44">
        <f>VLOOKUP(Table1[[#This Row],[Status]],Auxiliar!$B$16:$C$24,2,0)</f>
        <v>1</v>
      </c>
      <c r="K1271" s="44" t="s">
        <v>1187</v>
      </c>
      <c r="L1271" s="45" t="s">
        <v>1193</v>
      </c>
      <c r="M1271" s="20" t="s">
        <v>1194</v>
      </c>
      <c r="N1271" s="47">
        <v>45667</v>
      </c>
      <c r="O1271" s="20">
        <f>INDEX(Auxiliar!$D$5:$F$13,MATCH(Table1[[#This Row],[Tipologia_Testes]],Auxiliar!$B$5:$B$13,0),MATCH(Table1[[#This Row],[Complexidade]],Auxiliar!$D$4:$F$4,0))</f>
        <v>2</v>
      </c>
      <c r="P1271" s="42" t="s">
        <v>1291</v>
      </c>
      <c r="Q1271" s="151"/>
      <c r="R1271" s="151">
        <v>45583</v>
      </c>
      <c r="S1271" s="151"/>
      <c r="T1271" s="151">
        <v>45583</v>
      </c>
      <c r="U1271" s="151">
        <v>45596</v>
      </c>
      <c r="V1271" s="151">
        <v>45596</v>
      </c>
      <c r="W1271" s="2">
        <f>VLOOKUP(Table1[[#This Row],[Status]],Auxiliar!$B$16:$D$24,3,0)*Table1[[#This Row],[Estimação (horas)]]</f>
        <v>2</v>
      </c>
      <c r="X1271" s="113"/>
    </row>
    <row r="1272" spans="2:24" ht="17.7" hidden="1" customHeight="1">
      <c r="B1272" s="38" t="s">
        <v>26</v>
      </c>
      <c r="C1272" s="38" t="s">
        <v>26</v>
      </c>
      <c r="D1272" s="38" t="s">
        <v>1290</v>
      </c>
      <c r="E1272" s="38" t="s">
        <v>1272</v>
      </c>
      <c r="F1272" s="38" t="s">
        <v>368</v>
      </c>
      <c r="G1272" s="38" t="s">
        <v>370</v>
      </c>
      <c r="H1272" s="58" t="str">
        <f>Table1[[#This Row],[Tabela]]&amp;Table1[[#This Row],[Campo]]</f>
        <v>lt004_protectionep_scr</v>
      </c>
      <c r="I1272" s="2" t="s">
        <v>612</v>
      </c>
      <c r="J1272" s="44">
        <f>VLOOKUP(Table1[[#This Row],[Status]],Auxiliar!$B$16:$C$24,2,0)</f>
        <v>1</v>
      </c>
      <c r="K1272" s="44" t="s">
        <v>1188</v>
      </c>
      <c r="L1272" s="45" t="s">
        <v>1193</v>
      </c>
      <c r="M1272" s="20" t="s">
        <v>1194</v>
      </c>
      <c r="N1272" s="47">
        <v>45667</v>
      </c>
      <c r="O1272" s="20">
        <f>INDEX(Auxiliar!$D$5:$F$13,MATCH(Table1[[#This Row],[Tipologia_Testes]],Auxiliar!$B$5:$B$13,0),MATCH(Table1[[#This Row],[Complexidade]],Auxiliar!$D$4:$F$4,0))</f>
        <v>2</v>
      </c>
      <c r="P1272" s="42" t="s">
        <v>1291</v>
      </c>
      <c r="Q1272" s="151"/>
      <c r="R1272" s="151">
        <v>45583</v>
      </c>
      <c r="S1272" s="151"/>
      <c r="T1272" s="151">
        <v>45583</v>
      </c>
      <c r="U1272" s="151">
        <v>45596</v>
      </c>
      <c r="V1272" s="151">
        <v>45596</v>
      </c>
      <c r="W1272" s="2">
        <f>VLOOKUP(Table1[[#This Row],[Status]],Auxiliar!$B$16:$D$24,3,0)*Table1[[#This Row],[Estimação (horas)]]</f>
        <v>2</v>
      </c>
      <c r="X1272" s="113"/>
    </row>
    <row r="1273" spans="2:24" ht="17.7" hidden="1" customHeight="1">
      <c r="B1273" s="38" t="s">
        <v>26</v>
      </c>
      <c r="C1273" s="38" t="s">
        <v>26</v>
      </c>
      <c r="D1273" s="38" t="s">
        <v>1290</v>
      </c>
      <c r="E1273" s="38" t="s">
        <v>1272</v>
      </c>
      <c r="F1273" s="38" t="s">
        <v>368</v>
      </c>
      <c r="G1273" s="38" t="s">
        <v>370</v>
      </c>
      <c r="H1273" s="58" t="str">
        <f>Table1[[#This Row],[Tabela]]&amp;Table1[[#This Row],[Campo]]</f>
        <v>lt004_protectionep_scr</v>
      </c>
      <c r="I1273" s="2" t="s">
        <v>612</v>
      </c>
      <c r="J1273" s="44">
        <f>VLOOKUP(Table1[[#This Row],[Status]],Auxiliar!$B$16:$C$24,2,0)</f>
        <v>1</v>
      </c>
      <c r="K1273" s="44" t="s">
        <v>1190</v>
      </c>
      <c r="L1273" s="45" t="s">
        <v>1193</v>
      </c>
      <c r="M1273" s="20" t="s">
        <v>1194</v>
      </c>
      <c r="N1273" s="47">
        <v>45667</v>
      </c>
      <c r="O1273" s="20">
        <f>INDEX(Auxiliar!$D$5:$F$13,MATCH(Table1[[#This Row],[Tipologia_Testes]],Auxiliar!$B$5:$B$13,0),MATCH(Table1[[#This Row],[Complexidade]],Auxiliar!$D$4:$F$4,0))</f>
        <v>0.1</v>
      </c>
      <c r="P1273" s="42" t="s">
        <v>1291</v>
      </c>
      <c r="Q1273" s="151"/>
      <c r="R1273" s="151">
        <v>45583</v>
      </c>
      <c r="S1273" s="151"/>
      <c r="T1273" s="151">
        <v>45583</v>
      </c>
      <c r="U1273" s="151">
        <v>45596</v>
      </c>
      <c r="V1273" s="151">
        <v>45596</v>
      </c>
      <c r="W1273" s="2">
        <f>VLOOKUP(Table1[[#This Row],[Status]],Auxiliar!$B$16:$D$24,3,0)*Table1[[#This Row],[Estimação (horas)]]</f>
        <v>0.1</v>
      </c>
      <c r="X1273" s="113"/>
    </row>
    <row r="1274" spans="2:24" ht="34.950000000000003" hidden="1" customHeight="1">
      <c r="B1274" s="40" t="s">
        <v>26</v>
      </c>
      <c r="C1274" s="40" t="s">
        <v>26</v>
      </c>
      <c r="D1274" s="35" t="s">
        <v>1292</v>
      </c>
      <c r="E1274" s="39" t="s">
        <v>1295</v>
      </c>
      <c r="F1274" s="39" t="s">
        <v>368</v>
      </c>
      <c r="G1274" s="37" t="s">
        <v>375</v>
      </c>
      <c r="H1274" s="59" t="str">
        <f>Table1[[#This Row],[Tabela]]&amp;Table1[[#This Row],[Campo]]</f>
        <v>lt004_protectionemssns_scp3_prtctn</v>
      </c>
      <c r="I1274" s="2" t="s">
        <v>612</v>
      </c>
      <c r="J1274" s="44">
        <f>VLOOKUP(Table1[[#This Row],[Status]],Auxiliar!$B$16:$C$24,2,0)</f>
        <v>1</v>
      </c>
      <c r="K1274" s="44" t="s">
        <v>1187</v>
      </c>
      <c r="L1274" s="45" t="s">
        <v>1193</v>
      </c>
      <c r="M1274" s="20" t="s">
        <v>1194</v>
      </c>
      <c r="N1274" s="47">
        <v>45667</v>
      </c>
      <c r="O1274" s="20">
        <f>INDEX(Auxiliar!$D$5:$F$13,MATCH(Table1[[#This Row],[Tipologia_Testes]],Auxiliar!$B$5:$B$13,0),MATCH(Table1[[#This Row],[Complexidade]],Auxiliar!$D$4:$F$4,0))</f>
        <v>2</v>
      </c>
      <c r="P1274" s="42" t="s">
        <v>1279</v>
      </c>
      <c r="Q1274" s="151"/>
      <c r="R1274" s="151">
        <v>45622</v>
      </c>
      <c r="S1274" s="151"/>
      <c r="T1274" s="151"/>
      <c r="U1274" s="151">
        <v>45631</v>
      </c>
      <c r="V1274" s="151">
        <v>45631</v>
      </c>
      <c r="W1274" s="2">
        <f>VLOOKUP(Table1[[#This Row],[Status]],Auxiliar!$B$16:$D$24,3,0)*Table1[[#This Row],[Estimação (horas)]]</f>
        <v>2</v>
      </c>
      <c r="X1274" s="113"/>
    </row>
    <row r="1275" spans="2:24" ht="17.7" hidden="1" customHeight="1">
      <c r="B1275" s="38" t="s">
        <v>26</v>
      </c>
      <c r="C1275" s="38" t="s">
        <v>26</v>
      </c>
      <c r="D1275" s="38" t="s">
        <v>1292</v>
      </c>
      <c r="E1275" s="38" t="s">
        <v>1295</v>
      </c>
      <c r="F1275" s="38" t="s">
        <v>368</v>
      </c>
      <c r="G1275" s="38" t="s">
        <v>375</v>
      </c>
      <c r="H1275" s="58" t="str">
        <f>Table1[[#This Row],[Tabela]]&amp;Table1[[#This Row],[Campo]]</f>
        <v>lt004_protectionemssns_scp3_prtctn</v>
      </c>
      <c r="I1275" s="2" t="s">
        <v>612</v>
      </c>
      <c r="J1275" s="44">
        <f>VLOOKUP(Table1[[#This Row],[Status]],Auxiliar!$B$16:$C$24,2,0)</f>
        <v>1</v>
      </c>
      <c r="K1275" s="44" t="s">
        <v>1188</v>
      </c>
      <c r="L1275" s="45" t="s">
        <v>1193</v>
      </c>
      <c r="M1275" s="20" t="s">
        <v>1194</v>
      </c>
      <c r="N1275" s="47">
        <v>45667</v>
      </c>
      <c r="O1275" s="20">
        <f>INDEX(Auxiliar!$D$5:$F$13,MATCH(Table1[[#This Row],[Tipologia_Testes]],Auxiliar!$B$5:$B$13,0),MATCH(Table1[[#This Row],[Complexidade]],Auxiliar!$D$4:$F$4,0))</f>
        <v>2</v>
      </c>
      <c r="P1275" s="42" t="s">
        <v>1279</v>
      </c>
      <c r="Q1275" s="151"/>
      <c r="R1275" s="151">
        <v>45622</v>
      </c>
      <c r="S1275" s="151"/>
      <c r="T1275" s="151"/>
      <c r="U1275" s="151">
        <v>45631</v>
      </c>
      <c r="V1275" s="151">
        <v>45631</v>
      </c>
      <c r="W1275" s="2">
        <f>VLOOKUP(Table1[[#This Row],[Status]],Auxiliar!$B$16:$D$24,3,0)*Table1[[#This Row],[Estimação (horas)]]</f>
        <v>2</v>
      </c>
      <c r="X1275" s="113"/>
    </row>
    <row r="1276" spans="2:24" ht="17.7" hidden="1" customHeight="1">
      <c r="B1276" s="38" t="s">
        <v>26</v>
      </c>
      <c r="C1276" s="38" t="s">
        <v>26</v>
      </c>
      <c r="D1276" s="38" t="s">
        <v>1292</v>
      </c>
      <c r="E1276" s="38" t="s">
        <v>1295</v>
      </c>
      <c r="F1276" s="38" t="s">
        <v>368</v>
      </c>
      <c r="G1276" s="38" t="s">
        <v>375</v>
      </c>
      <c r="H1276" s="58" t="str">
        <f>Table1[[#This Row],[Tabela]]&amp;Table1[[#This Row],[Campo]]</f>
        <v>lt004_protectionemssns_scp3_prtctn</v>
      </c>
      <c r="I1276" s="2" t="s">
        <v>612</v>
      </c>
      <c r="J1276" s="44">
        <f>VLOOKUP(Table1[[#This Row],[Status]],Auxiliar!$B$16:$C$24,2,0)</f>
        <v>1</v>
      </c>
      <c r="K1276" s="44" t="s">
        <v>1190</v>
      </c>
      <c r="L1276" s="45" t="s">
        <v>1193</v>
      </c>
      <c r="M1276" s="20" t="s">
        <v>1194</v>
      </c>
      <c r="N1276" s="47">
        <v>45667</v>
      </c>
      <c r="O1276" s="20">
        <f>INDEX(Auxiliar!$D$5:$F$13,MATCH(Table1[[#This Row],[Tipologia_Testes]],Auxiliar!$B$5:$B$13,0),MATCH(Table1[[#This Row],[Complexidade]],Auxiliar!$D$4:$F$4,0))</f>
        <v>0.1</v>
      </c>
      <c r="P1276" s="42" t="s">
        <v>1279</v>
      </c>
      <c r="Q1276" s="151"/>
      <c r="R1276" s="151">
        <v>45622</v>
      </c>
      <c r="S1276" s="151"/>
      <c r="T1276" s="151"/>
      <c r="U1276" s="151">
        <v>45631</v>
      </c>
      <c r="V1276" s="151">
        <v>45631</v>
      </c>
      <c r="W1276" s="2">
        <f>VLOOKUP(Table1[[#This Row],[Status]],Auxiliar!$B$16:$D$24,3,0)*Table1[[#This Row],[Estimação (horas)]]</f>
        <v>0.1</v>
      </c>
      <c r="X1276" s="113"/>
    </row>
    <row r="1277" spans="2:24" ht="17.7"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1187</v>
      </c>
      <c r="L1277" s="45" t="s">
        <v>1193</v>
      </c>
      <c r="M1277" s="20" t="s">
        <v>1194</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7"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1188</v>
      </c>
      <c r="L1278" s="45" t="s">
        <v>1193</v>
      </c>
      <c r="M1278" s="20" t="s">
        <v>1194</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7"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1190</v>
      </c>
      <c r="L1279" s="45" t="s">
        <v>1193</v>
      </c>
      <c r="M1279" s="20" t="s">
        <v>1194</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7"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1187</v>
      </c>
      <c r="L1280" s="45" t="s">
        <v>1193</v>
      </c>
      <c r="M1280" s="20" t="s">
        <v>1194</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7"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1188</v>
      </c>
      <c r="L1281" s="45" t="s">
        <v>1193</v>
      </c>
      <c r="M1281" s="20" t="s">
        <v>1194</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7"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1190</v>
      </c>
      <c r="L1282" s="45" t="s">
        <v>1193</v>
      </c>
      <c r="M1282" s="20" t="s">
        <v>1194</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7" customHeight="1">
      <c r="B1283" s="40" t="s">
        <v>26</v>
      </c>
      <c r="C1283" s="40" t="s">
        <v>26</v>
      </c>
      <c r="D1283" s="36" t="s">
        <v>1290</v>
      </c>
      <c r="E1283" s="41" t="s">
        <v>1272</v>
      </c>
      <c r="F1283" s="39" t="s">
        <v>1887</v>
      </c>
      <c r="G1283" s="37" t="s">
        <v>382</v>
      </c>
      <c r="H1283" s="59" t="str">
        <f>Table1[[#This Row],[Tabela]]&amp;Table1[[#This Row],[Campo]]</f>
        <v>lt007_instr_activityenvrnmntl_objctv</v>
      </c>
      <c r="I1283" s="2" t="s">
        <v>612</v>
      </c>
      <c r="J1283" s="44">
        <f>VLOOKUP(Table1[[#This Row],[Status]],Auxiliar!$B$16:$C$24,2,0)</f>
        <v>1</v>
      </c>
      <c r="K1283" s="44" t="s">
        <v>1187</v>
      </c>
      <c r="L1283" s="45" t="s">
        <v>1193</v>
      </c>
      <c r="M1283" s="20" t="s">
        <v>1194</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7" customHeight="1">
      <c r="B1284" s="38" t="s">
        <v>26</v>
      </c>
      <c r="C1284" s="38" t="s">
        <v>26</v>
      </c>
      <c r="D1284" s="38" t="s">
        <v>1290</v>
      </c>
      <c r="E1284" s="38" t="s">
        <v>1272</v>
      </c>
      <c r="F1284" s="39" t="s">
        <v>1887</v>
      </c>
      <c r="G1284" s="38" t="s">
        <v>382</v>
      </c>
      <c r="H1284" s="58" t="str">
        <f>Table1[[#This Row],[Tabela]]&amp;Table1[[#This Row],[Campo]]</f>
        <v>lt007_instr_activityenvrnmntl_objctv</v>
      </c>
      <c r="I1284" s="2" t="s">
        <v>612</v>
      </c>
      <c r="J1284" s="44">
        <f>VLOOKUP(Table1[[#This Row],[Status]],Auxiliar!$B$16:$C$24,2,0)</f>
        <v>1</v>
      </c>
      <c r="K1284" s="44" t="s">
        <v>1188</v>
      </c>
      <c r="L1284" s="45" t="s">
        <v>1193</v>
      </c>
      <c r="M1284" s="20" t="s">
        <v>1194</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7" customHeight="1">
      <c r="B1285" s="38" t="s">
        <v>26</v>
      </c>
      <c r="C1285" s="38" t="s">
        <v>26</v>
      </c>
      <c r="D1285" s="38" t="s">
        <v>1290</v>
      </c>
      <c r="E1285" s="38" t="s">
        <v>1272</v>
      </c>
      <c r="F1285" s="39" t="s">
        <v>1887</v>
      </c>
      <c r="G1285" s="38" t="s">
        <v>382</v>
      </c>
      <c r="H1285" s="58" t="str">
        <f>Table1[[#This Row],[Tabela]]&amp;Table1[[#This Row],[Campo]]</f>
        <v>lt007_instr_activityenvrnmntl_objctv</v>
      </c>
      <c r="I1285" s="2" t="s">
        <v>612</v>
      </c>
      <c r="J1285" s="44">
        <f>VLOOKUP(Table1[[#This Row],[Status]],Auxiliar!$B$16:$C$24,2,0)</f>
        <v>1</v>
      </c>
      <c r="K1285" s="44" t="s">
        <v>1190</v>
      </c>
      <c r="L1285" s="45" t="s">
        <v>1193</v>
      </c>
      <c r="M1285" s="20" t="s">
        <v>1194</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7" customHeight="1">
      <c r="B1286" s="40" t="s">
        <v>26</v>
      </c>
      <c r="C1286" s="40" t="s">
        <v>26</v>
      </c>
      <c r="D1286" s="36" t="s">
        <v>1290</v>
      </c>
      <c r="E1286" s="41" t="s">
        <v>1272</v>
      </c>
      <c r="F1286" s="39" t="s">
        <v>1887</v>
      </c>
      <c r="G1286" s="37" t="s">
        <v>383</v>
      </c>
      <c r="H1286" s="59" t="str">
        <f>Table1[[#This Row],[Tabela]]&amp;Table1[[#This Row],[Campo]]</f>
        <v>lt007_instr_activitytyp_actvty</v>
      </c>
      <c r="I1286" s="2" t="s">
        <v>612</v>
      </c>
      <c r="J1286" s="44">
        <f>VLOOKUP(Table1[[#This Row],[Status]],Auxiliar!$B$16:$C$24,2,0)</f>
        <v>1</v>
      </c>
      <c r="K1286" s="44" t="s">
        <v>1187</v>
      </c>
      <c r="L1286" s="45" t="s">
        <v>1193</v>
      </c>
      <c r="M1286" s="20" t="s">
        <v>1194</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7" customHeight="1">
      <c r="B1287" s="38" t="s">
        <v>26</v>
      </c>
      <c r="C1287" s="38" t="s">
        <v>26</v>
      </c>
      <c r="D1287" s="38" t="s">
        <v>1290</v>
      </c>
      <c r="E1287" s="38" t="s">
        <v>1272</v>
      </c>
      <c r="F1287" s="39" t="s">
        <v>1887</v>
      </c>
      <c r="G1287" s="38" t="s">
        <v>383</v>
      </c>
      <c r="H1287" s="58" t="str">
        <f>Table1[[#This Row],[Tabela]]&amp;Table1[[#This Row],[Campo]]</f>
        <v>lt007_instr_activitytyp_actvty</v>
      </c>
      <c r="I1287" s="2" t="s">
        <v>612</v>
      </c>
      <c r="J1287" s="44">
        <f>VLOOKUP(Table1[[#This Row],[Status]],Auxiliar!$B$16:$C$24,2,0)</f>
        <v>1</v>
      </c>
      <c r="K1287" s="44" t="s">
        <v>1188</v>
      </c>
      <c r="L1287" s="45" t="s">
        <v>1193</v>
      </c>
      <c r="M1287" s="20" t="s">
        <v>1194</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7" customHeight="1">
      <c r="B1288" s="38" t="s">
        <v>26</v>
      </c>
      <c r="C1288" s="38" t="s">
        <v>26</v>
      </c>
      <c r="D1288" s="38" t="s">
        <v>1290</v>
      </c>
      <c r="E1288" s="38" t="s">
        <v>1272</v>
      </c>
      <c r="F1288" s="39" t="s">
        <v>1887</v>
      </c>
      <c r="G1288" s="38" t="s">
        <v>383</v>
      </c>
      <c r="H1288" s="58" t="str">
        <f>Table1[[#This Row],[Tabela]]&amp;Table1[[#This Row],[Campo]]</f>
        <v>lt007_instr_activitytyp_actvty</v>
      </c>
      <c r="I1288" s="2" t="s">
        <v>612</v>
      </c>
      <c r="J1288" s="44">
        <f>VLOOKUP(Table1[[#This Row],[Status]],Auxiliar!$B$16:$C$24,2,0)</f>
        <v>1</v>
      </c>
      <c r="K1288" s="44" t="s">
        <v>1190</v>
      </c>
      <c r="L1288" s="45" t="s">
        <v>1193</v>
      </c>
      <c r="M1288" s="20" t="s">
        <v>1194</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7" hidden="1" customHeight="1">
      <c r="B1289" s="38" t="s">
        <v>26</v>
      </c>
      <c r="C1289" s="38" t="s">
        <v>26</v>
      </c>
      <c r="D1289" s="37" t="s">
        <v>1290</v>
      </c>
      <c r="E1289" s="41" t="s">
        <v>1272</v>
      </c>
      <c r="F1289" s="39" t="s">
        <v>379</v>
      </c>
      <c r="G1289" s="37" t="s">
        <v>384</v>
      </c>
      <c r="H1289" s="59" t="str">
        <f>Table1[[#This Row],[Tabela]]&amp;Table1[[#This Row],[Campo]]</f>
        <v>lt002_instrumentlns_clltrlzd_clssfctn</v>
      </c>
      <c r="I1289" s="2" t="s">
        <v>612</v>
      </c>
      <c r="J1289" s="44">
        <f>VLOOKUP(Table1[[#This Row],[Status]],Auxiliar!$B$16:$C$24,2,0)</f>
        <v>1</v>
      </c>
      <c r="K1289" s="44" t="s">
        <v>1187</v>
      </c>
      <c r="L1289" s="45" t="s">
        <v>1193</v>
      </c>
      <c r="M1289" s="20" t="s">
        <v>1194</v>
      </c>
      <c r="N1289" s="47">
        <v>45583</v>
      </c>
      <c r="O1289" s="20">
        <f>INDEX(Auxiliar!$D$5:$F$13,MATCH(Table1[[#This Row],[Tipologia_Testes]],Auxiliar!$B$5:$B$13,0),MATCH(Table1[[#This Row],[Complexidade]],Auxiliar!$D$4:$F$4,0))</f>
        <v>2</v>
      </c>
      <c r="P1289" s="42" t="s">
        <v>1297</v>
      </c>
      <c r="Q1289" s="151"/>
      <c r="R1289" s="151">
        <v>45583</v>
      </c>
      <c r="S1289" s="151"/>
      <c r="T1289" s="151">
        <v>45583</v>
      </c>
      <c r="U1289" s="151">
        <v>45589</v>
      </c>
      <c r="V1289" s="151">
        <v>45589</v>
      </c>
      <c r="W1289" s="2">
        <f>VLOOKUP(Table1[[#This Row],[Status]],Auxiliar!$B$16:$D$24,3,0)*Table1[[#This Row],[Estimação (horas)]]</f>
        <v>2</v>
      </c>
      <c r="X1289" s="113"/>
    </row>
    <row r="1290" spans="2:24" ht="17.7" hidden="1" customHeight="1">
      <c r="B1290" s="38" t="s">
        <v>26</v>
      </c>
      <c r="C1290" s="38" t="s">
        <v>26</v>
      </c>
      <c r="D1290" s="38" t="s">
        <v>1290</v>
      </c>
      <c r="E1290" s="38" t="s">
        <v>1272</v>
      </c>
      <c r="F1290" s="38" t="s">
        <v>379</v>
      </c>
      <c r="G1290" s="38" t="s">
        <v>384</v>
      </c>
      <c r="H1290" s="58" t="str">
        <f>Table1[[#This Row],[Tabela]]&amp;Table1[[#This Row],[Campo]]</f>
        <v>lt002_instrumentlns_clltrlzd_clssfctn</v>
      </c>
      <c r="I1290" s="2" t="s">
        <v>612</v>
      </c>
      <c r="J1290" s="44">
        <f>VLOOKUP(Table1[[#This Row],[Status]],Auxiliar!$B$16:$C$24,2,0)</f>
        <v>1</v>
      </c>
      <c r="K1290" s="44" t="s">
        <v>1188</v>
      </c>
      <c r="L1290" s="45" t="s">
        <v>1193</v>
      </c>
      <c r="M1290" s="20" t="s">
        <v>1194</v>
      </c>
      <c r="N1290" s="47">
        <v>45596</v>
      </c>
      <c r="O1290" s="20">
        <f>INDEX(Auxiliar!$D$5:$F$13,MATCH(Table1[[#This Row],[Tipologia_Testes]],Auxiliar!$B$5:$B$13,0),MATCH(Table1[[#This Row],[Complexidade]],Auxiliar!$D$4:$F$4,0))</f>
        <v>2</v>
      </c>
      <c r="P1290" s="42" t="s">
        <v>1297</v>
      </c>
      <c r="Q1290" s="151"/>
      <c r="R1290" s="151">
        <v>45583</v>
      </c>
      <c r="S1290" s="151"/>
      <c r="T1290" s="151">
        <v>45583</v>
      </c>
      <c r="U1290" s="151"/>
      <c r="V1290" s="151">
        <v>45589</v>
      </c>
      <c r="W1290" s="2">
        <f>VLOOKUP(Table1[[#This Row],[Status]],Auxiliar!$B$16:$D$24,3,0)*Table1[[#This Row],[Estimação (horas)]]</f>
        <v>2</v>
      </c>
      <c r="X1290" s="113"/>
    </row>
    <row r="1291" spans="2:24" ht="17.7" hidden="1" customHeight="1">
      <c r="B1291" s="38" t="s">
        <v>26</v>
      </c>
      <c r="C1291" s="38" t="s">
        <v>26</v>
      </c>
      <c r="D1291" s="38" t="s">
        <v>1290</v>
      </c>
      <c r="E1291" s="38" t="s">
        <v>1272</v>
      </c>
      <c r="F1291" s="38" t="s">
        <v>379</v>
      </c>
      <c r="G1291" s="38" t="s">
        <v>384</v>
      </c>
      <c r="H1291" s="58" t="str">
        <f>Table1[[#This Row],[Tabela]]&amp;Table1[[#This Row],[Campo]]</f>
        <v>lt002_instrumentlns_clltrlzd_clssfctn</v>
      </c>
      <c r="I1291" s="2" t="s">
        <v>612</v>
      </c>
      <c r="J1291" s="44">
        <f>VLOOKUP(Table1[[#This Row],[Status]],Auxiliar!$B$16:$C$24,2,0)</f>
        <v>1</v>
      </c>
      <c r="K1291" s="44" t="s">
        <v>1190</v>
      </c>
      <c r="L1291" s="45" t="s">
        <v>1193</v>
      </c>
      <c r="M1291" s="20" t="s">
        <v>1194</v>
      </c>
      <c r="N1291" s="47">
        <v>45596</v>
      </c>
      <c r="O1291" s="20">
        <f>INDEX(Auxiliar!$D$5:$F$13,MATCH(Table1[[#This Row],[Tipologia_Testes]],Auxiliar!$B$5:$B$13,0),MATCH(Table1[[#This Row],[Complexidade]],Auxiliar!$D$4:$F$4,0))</f>
        <v>0.1</v>
      </c>
      <c r="P1291" s="42" t="s">
        <v>1297</v>
      </c>
      <c r="Q1291" s="151"/>
      <c r="R1291" s="151">
        <v>45583</v>
      </c>
      <c r="S1291" s="151"/>
      <c r="T1291" s="151">
        <v>45583</v>
      </c>
      <c r="U1291" s="151"/>
      <c r="V1291" s="151">
        <v>45589</v>
      </c>
      <c r="W1291" s="2">
        <f>VLOOKUP(Table1[[#This Row],[Status]],Auxiliar!$B$16:$D$24,3,0)*Table1[[#This Row],[Estimação (horas)]]</f>
        <v>0.1</v>
      </c>
      <c r="X1291" s="113"/>
    </row>
    <row r="1292" spans="2:24" ht="17.7" hidden="1" customHeight="1">
      <c r="B1292" s="38" t="s">
        <v>26</v>
      </c>
      <c r="C1292" s="38" t="s">
        <v>26</v>
      </c>
      <c r="D1292" s="38" t="s">
        <v>1290</v>
      </c>
      <c r="E1292" s="38" t="s">
        <v>1272</v>
      </c>
      <c r="F1292" s="38" t="s">
        <v>379</v>
      </c>
      <c r="G1292" s="38" t="s">
        <v>2227</v>
      </c>
      <c r="H1292" s="58" t="str">
        <f>Table1[[#This Row],[Tabela]]&amp;Table1[[#This Row],[Campo]]</f>
        <v>lt002_instrumentFRBRNC_STTS_INSTRMNT</v>
      </c>
      <c r="I1292" s="2" t="s">
        <v>28</v>
      </c>
      <c r="J1292" s="44">
        <f>VLOOKUP(Table1[[#This Row],[Status]],Auxiliar!$B$16:$C$24,2,0)</f>
        <v>8</v>
      </c>
      <c r="K1292" s="44" t="s">
        <v>1188</v>
      </c>
      <c r="L1292" s="45" t="s">
        <v>1193</v>
      </c>
      <c r="M1292" s="20" t="s">
        <v>1194</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7" hidden="1" customHeight="1">
      <c r="B1293" s="38" t="s">
        <v>26</v>
      </c>
      <c r="C1293" s="38" t="s">
        <v>26</v>
      </c>
      <c r="D1293" s="38" t="s">
        <v>1290</v>
      </c>
      <c r="E1293" s="38" t="s">
        <v>1272</v>
      </c>
      <c r="F1293" s="38" t="s">
        <v>379</v>
      </c>
      <c r="G1293" s="38" t="s">
        <v>2228</v>
      </c>
      <c r="H1293" s="58" t="str">
        <f>Table1[[#This Row],[Tabela]]&amp;Table1[[#This Row],[Campo]]</f>
        <v>lt002_instrumentINTRNL_SGMNT</v>
      </c>
      <c r="I1293" s="2" t="s">
        <v>28</v>
      </c>
      <c r="J1293" s="44">
        <f>VLOOKUP(Table1[[#This Row],[Status]],Auxiliar!$B$16:$C$24,2,0)</f>
        <v>8</v>
      </c>
      <c r="K1293" s="44" t="s">
        <v>1188</v>
      </c>
      <c r="L1293" s="45" t="s">
        <v>1193</v>
      </c>
      <c r="M1293" s="20" t="s">
        <v>1194</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7" hidden="1" customHeight="1">
      <c r="B1294" s="38" t="s">
        <v>26</v>
      </c>
      <c r="C1294" s="38" t="s">
        <v>26</v>
      </c>
      <c r="D1294" s="38" t="s">
        <v>1290</v>
      </c>
      <c r="E1294" s="38" t="s">
        <v>1272</v>
      </c>
      <c r="F1294" s="38" t="s">
        <v>379</v>
      </c>
      <c r="G1294" s="38" t="s">
        <v>2229</v>
      </c>
      <c r="H1294" s="58" t="str">
        <f>Table1[[#This Row],[Tabela]]&amp;Table1[[#This Row],[Campo]]</f>
        <v>lt002_instrumentDT_ORGNL_MTRTY</v>
      </c>
      <c r="I1294" s="2" t="s">
        <v>28</v>
      </c>
      <c r="J1294" s="44">
        <f>VLOOKUP(Table1[[#This Row],[Status]],Auxiliar!$B$16:$C$24,2,0)</f>
        <v>8</v>
      </c>
      <c r="K1294" s="44" t="s">
        <v>1188</v>
      </c>
      <c r="L1294" s="45" t="s">
        <v>1193</v>
      </c>
      <c r="M1294" s="20" t="s">
        <v>1194</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7" hidden="1" customHeight="1">
      <c r="B1295" s="38" t="s">
        <v>26</v>
      </c>
      <c r="C1295" s="38" t="s">
        <v>26</v>
      </c>
      <c r="D1295" s="38" t="s">
        <v>1290</v>
      </c>
      <c r="E1295" s="38" t="s">
        <v>1272</v>
      </c>
      <c r="F1295" s="38" t="s">
        <v>379</v>
      </c>
      <c r="G1295" s="38" t="s">
        <v>2230</v>
      </c>
      <c r="H1295" s="58" t="str">
        <f>Table1[[#This Row],[Tabela]]&amp;Table1[[#This Row],[Campo]]</f>
        <v>lt002_instrumentEAD</v>
      </c>
      <c r="I1295" s="2" t="s">
        <v>28</v>
      </c>
      <c r="J1295" s="44">
        <f>VLOOKUP(Table1[[#This Row],[Status]],Auxiliar!$B$16:$C$24,2,0)</f>
        <v>8</v>
      </c>
      <c r="K1295" s="44" t="s">
        <v>1188</v>
      </c>
      <c r="L1295" s="45" t="s">
        <v>1193</v>
      </c>
      <c r="M1295" s="20" t="s">
        <v>1194</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7" hidden="1" customHeight="1">
      <c r="B1296" s="38" t="s">
        <v>26</v>
      </c>
      <c r="C1296" s="38" t="s">
        <v>26</v>
      </c>
      <c r="D1296" s="38" t="s">
        <v>1290</v>
      </c>
      <c r="E1296" s="38" t="s">
        <v>1272</v>
      </c>
      <c r="F1296" s="38" t="s">
        <v>379</v>
      </c>
      <c r="G1296" s="38" t="s">
        <v>1434</v>
      </c>
      <c r="H1296" s="58" t="str">
        <f>Table1[[#This Row],[Tabela]]&amp;Table1[[#This Row],[Campo]]</f>
        <v>lt002_instrumentOFF_BLNC_SHT_AMNT_INSTRMNT</v>
      </c>
      <c r="I1296" s="2" t="s">
        <v>28</v>
      </c>
      <c r="J1296" s="44">
        <f>VLOOKUP(Table1[[#This Row],[Status]],Auxiliar!$B$16:$C$24,2,0)</f>
        <v>8</v>
      </c>
      <c r="K1296" s="44" t="s">
        <v>1188</v>
      </c>
      <c r="L1296" s="45" t="s">
        <v>1193</v>
      </c>
      <c r="M1296" s="20" t="s">
        <v>1194</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7" hidden="1" customHeight="1">
      <c r="B1297" s="38" t="s">
        <v>26</v>
      </c>
      <c r="C1297" s="38" t="s">
        <v>26</v>
      </c>
      <c r="D1297" s="38" t="s">
        <v>1290</v>
      </c>
      <c r="E1297" s="38" t="s">
        <v>1272</v>
      </c>
      <c r="F1297" s="38" t="s">
        <v>379</v>
      </c>
      <c r="G1297" s="38" t="s">
        <v>1440</v>
      </c>
      <c r="H1297" s="58" t="str">
        <f>Table1[[#This Row],[Tabela]]&amp;Table1[[#This Row],[Campo]]</f>
        <v>lt002_instrumentRWA</v>
      </c>
      <c r="I1297" s="2" t="s">
        <v>28</v>
      </c>
      <c r="J1297" s="44">
        <f>VLOOKUP(Table1[[#This Row],[Status]],Auxiliar!$B$16:$C$24,2,0)</f>
        <v>8</v>
      </c>
      <c r="K1297" s="44" t="s">
        <v>1188</v>
      </c>
      <c r="L1297" s="45" t="s">
        <v>1193</v>
      </c>
      <c r="M1297" s="20" t="s">
        <v>1194</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7" hidden="1" customHeight="1">
      <c r="B1298" s="38" t="s">
        <v>26</v>
      </c>
      <c r="C1298" s="38" t="s">
        <v>26</v>
      </c>
      <c r="D1298" s="38" t="s">
        <v>1290</v>
      </c>
      <c r="E1298" s="38" t="s">
        <v>1272</v>
      </c>
      <c r="F1298" s="38" t="s">
        <v>379</v>
      </c>
      <c r="G1298" s="38" t="s">
        <v>2231</v>
      </c>
      <c r="H1298" s="58" t="str">
        <f>Table1[[#This Row],[Tabela]]&amp;Table1[[#This Row],[Campo]]</f>
        <v>lt002_instrumentLTV</v>
      </c>
      <c r="I1298" s="2" t="s">
        <v>28</v>
      </c>
      <c r="J1298" s="44">
        <f>VLOOKUP(Table1[[#This Row],[Status]],Auxiliar!$B$16:$C$24,2,0)</f>
        <v>8</v>
      </c>
      <c r="K1298" s="44" t="s">
        <v>1188</v>
      </c>
      <c r="L1298" s="45" t="s">
        <v>1193</v>
      </c>
      <c r="M1298" s="20" t="s">
        <v>1194</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7" hidden="1" customHeight="1">
      <c r="B1299" s="38" t="s">
        <v>26</v>
      </c>
      <c r="C1299" s="38" t="s">
        <v>26</v>
      </c>
      <c r="D1299" s="38" t="s">
        <v>1290</v>
      </c>
      <c r="E1299" s="38" t="s">
        <v>1272</v>
      </c>
      <c r="F1299" s="38" t="s">
        <v>379</v>
      </c>
      <c r="G1299" s="38" t="s">
        <v>2232</v>
      </c>
      <c r="H1299" s="58" t="str">
        <f>Table1[[#This Row],[Tabela]]&amp;Table1[[#This Row],[Campo]]</f>
        <v>lt002_instrumentLTV_INCPTN</v>
      </c>
      <c r="I1299" s="2" t="s">
        <v>28</v>
      </c>
      <c r="J1299" s="44">
        <f>VLOOKUP(Table1[[#This Row],[Status]],Auxiliar!$B$16:$C$24,2,0)</f>
        <v>8</v>
      </c>
      <c r="K1299" s="44" t="s">
        <v>1188</v>
      </c>
      <c r="L1299" s="45" t="s">
        <v>1193</v>
      </c>
      <c r="M1299" s="20" t="s">
        <v>1194</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7" hidden="1" customHeight="1">
      <c r="B1300" s="38" t="s">
        <v>26</v>
      </c>
      <c r="C1300" s="38" t="s">
        <v>26</v>
      </c>
      <c r="D1300" s="38" t="s">
        <v>1290</v>
      </c>
      <c r="E1300" s="38" t="s">
        <v>1272</v>
      </c>
      <c r="F1300" s="38" t="s">
        <v>379</v>
      </c>
      <c r="G1300" s="38" t="s">
        <v>2233</v>
      </c>
      <c r="H1300" s="58" t="str">
        <f>Table1[[#This Row],[Tabela]]&amp;Table1[[#This Row],[Campo]]</f>
        <v>lt002_instrumentEIR</v>
      </c>
      <c r="I1300" s="2" t="s">
        <v>28</v>
      </c>
      <c r="J1300" s="44">
        <f>VLOOKUP(Table1[[#This Row],[Status]],Auxiliar!$B$16:$C$24,2,0)</f>
        <v>8</v>
      </c>
      <c r="K1300" s="44" t="s">
        <v>1188</v>
      </c>
      <c r="L1300" s="45" t="s">
        <v>1193</v>
      </c>
      <c r="M1300" s="20" t="s">
        <v>1194</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7" hidden="1" customHeight="1">
      <c r="B1301" s="38" t="s">
        <v>26</v>
      </c>
      <c r="C1301" s="38" t="s">
        <v>26</v>
      </c>
      <c r="D1301" s="38" t="s">
        <v>1290</v>
      </c>
      <c r="E1301" s="38" t="s">
        <v>1272</v>
      </c>
      <c r="F1301" s="38" t="s">
        <v>379</v>
      </c>
      <c r="G1301" s="38" t="s">
        <v>2234</v>
      </c>
      <c r="H1301" s="58" t="str">
        <f>Table1[[#This Row],[Tabela]]&amp;Table1[[#This Row],[Campo]]</f>
        <v>lt002_instrumentEIR_INCPTN</v>
      </c>
      <c r="I1301" s="2" t="s">
        <v>28</v>
      </c>
      <c r="J1301" s="44">
        <f>VLOOKUP(Table1[[#This Row],[Status]],Auxiliar!$B$16:$C$24,2,0)</f>
        <v>8</v>
      </c>
      <c r="K1301" s="44" t="s">
        <v>1188</v>
      </c>
      <c r="L1301" s="45" t="s">
        <v>1193</v>
      </c>
      <c r="M1301" s="20" t="s">
        <v>1194</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7" hidden="1" customHeight="1">
      <c r="B1302" s="38" t="s">
        <v>26</v>
      </c>
      <c r="C1302" s="38" t="s">
        <v>26</v>
      </c>
      <c r="D1302" s="38" t="s">
        <v>1290</v>
      </c>
      <c r="E1302" s="38" t="s">
        <v>1272</v>
      </c>
      <c r="F1302" s="38" t="s">
        <v>379</v>
      </c>
      <c r="G1302" s="38" t="s">
        <v>2235</v>
      </c>
      <c r="H1302" s="58" t="str">
        <f>Table1[[#This Row],[Tabela]]&amp;Table1[[#This Row],[Campo]]</f>
        <v>lt002_instrumentINTRNL_SGMNT_CAT_MSTA</v>
      </c>
      <c r="I1302" s="2" t="s">
        <v>28</v>
      </c>
      <c r="J1302" s="44">
        <f>VLOOKUP(Table1[[#This Row],[Status]],Auxiliar!$B$16:$C$24,2,0)</f>
        <v>8</v>
      </c>
      <c r="K1302" s="44" t="s">
        <v>1188</v>
      </c>
      <c r="L1302" s="45" t="s">
        <v>1193</v>
      </c>
      <c r="M1302" s="20" t="s">
        <v>1194</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7" hidden="1" customHeight="1">
      <c r="B1303" s="38" t="s">
        <v>26</v>
      </c>
      <c r="C1303" s="38" t="s">
        <v>26</v>
      </c>
      <c r="D1303" s="38" t="s">
        <v>1290</v>
      </c>
      <c r="E1303" s="38" t="s">
        <v>1272</v>
      </c>
      <c r="F1303" s="38" t="s">
        <v>379</v>
      </c>
      <c r="G1303" s="38" t="s">
        <v>2236</v>
      </c>
      <c r="H1303" s="58" t="str">
        <f>Table1[[#This Row],[Tabela]]&amp;Table1[[#This Row],[Campo]]</f>
        <v>lt002_instrumentINTRNL_SGMNT_CATGSUB</v>
      </c>
      <c r="I1303" s="2" t="s">
        <v>28</v>
      </c>
      <c r="J1303" s="44">
        <f>VLOOKUP(Table1[[#This Row],[Status]],Auxiliar!$B$16:$C$24,2,0)</f>
        <v>8</v>
      </c>
      <c r="K1303" s="44" t="s">
        <v>1188</v>
      </c>
      <c r="L1303" s="45" t="s">
        <v>1193</v>
      </c>
      <c r="M1303" s="20" t="s">
        <v>1194</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7" hidden="1" customHeight="1">
      <c r="B1304" s="38" t="s">
        <v>26</v>
      </c>
      <c r="C1304" s="38" t="s">
        <v>26</v>
      </c>
      <c r="D1304" s="38" t="s">
        <v>1290</v>
      </c>
      <c r="E1304" s="38" t="s">
        <v>1272</v>
      </c>
      <c r="F1304" s="38" t="s">
        <v>379</v>
      </c>
      <c r="G1304" s="38" t="s">
        <v>1356</v>
      </c>
      <c r="H1304" s="58" t="str">
        <f>Table1[[#This Row],[Tabela]]&amp;Table1[[#This Row],[Campo]]</f>
        <v>lt002_instrumentNW_BSNSS</v>
      </c>
      <c r="I1304" s="2" t="s">
        <v>28</v>
      </c>
      <c r="J1304" s="44">
        <f>VLOOKUP(Table1[[#This Row],[Status]],Auxiliar!$B$16:$C$24,2,0)</f>
        <v>8</v>
      </c>
      <c r="K1304" s="44" t="s">
        <v>1188</v>
      </c>
      <c r="L1304" s="45" t="s">
        <v>1193</v>
      </c>
      <c r="M1304" s="20" t="s">
        <v>1194</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7" hidden="1" customHeight="1">
      <c r="B1305" s="38" t="s">
        <v>26</v>
      </c>
      <c r="C1305" s="38" t="s">
        <v>26</v>
      </c>
      <c r="D1305" s="38" t="s">
        <v>1290</v>
      </c>
      <c r="E1305" s="38" t="s">
        <v>1272</v>
      </c>
      <c r="F1305" s="38" t="s">
        <v>379</v>
      </c>
      <c r="G1305" s="38" t="s">
        <v>1366</v>
      </c>
      <c r="H1305" s="58" t="str">
        <f>Table1[[#This Row],[Tabela]]&amp;Table1[[#This Row],[Campo]]</f>
        <v>lt002_instrumentCNCLLD_INSTRMNT_STTS</v>
      </c>
      <c r="I1305" s="2" t="s">
        <v>28</v>
      </c>
      <c r="J1305" s="44">
        <f>VLOOKUP(Table1[[#This Row],[Status]],Auxiliar!$B$16:$C$24,2,0)</f>
        <v>8</v>
      </c>
      <c r="K1305" s="44" t="s">
        <v>1188</v>
      </c>
      <c r="L1305" s="45" t="s">
        <v>1193</v>
      </c>
      <c r="M1305" s="20" t="s">
        <v>1194</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7" hidden="1" customHeight="1">
      <c r="B1306" s="38" t="s">
        <v>26</v>
      </c>
      <c r="C1306" s="38" t="s">
        <v>26</v>
      </c>
      <c r="D1306" s="38" t="s">
        <v>1290</v>
      </c>
      <c r="E1306" s="38" t="s">
        <v>1272</v>
      </c>
      <c r="F1306" s="38" t="s">
        <v>379</v>
      </c>
      <c r="G1306" s="38" t="s">
        <v>2237</v>
      </c>
      <c r="H1306" s="58" t="str">
        <f>Table1[[#This Row],[Tabela]]&amp;Table1[[#This Row],[Campo]]</f>
        <v>lt002_instrumentTYP_OFF_BLNC_PRDCT</v>
      </c>
      <c r="I1306" s="2" t="s">
        <v>28</v>
      </c>
      <c r="J1306" s="44">
        <f>VLOOKUP(Table1[[#This Row],[Status]],Auxiliar!$B$16:$C$24,2,0)</f>
        <v>8</v>
      </c>
      <c r="K1306" s="44" t="s">
        <v>1188</v>
      </c>
      <c r="L1306" s="45" t="s">
        <v>1193</v>
      </c>
      <c r="M1306" s="20" t="s">
        <v>1194</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7" hidden="1" customHeight="1">
      <c r="B1307" s="38" t="s">
        <v>26</v>
      </c>
      <c r="C1307" s="38" t="s">
        <v>26</v>
      </c>
      <c r="D1307" s="38" t="s">
        <v>1290</v>
      </c>
      <c r="E1307" s="38" t="s">
        <v>1272</v>
      </c>
      <c r="F1307" s="38" t="s">
        <v>379</v>
      </c>
      <c r="G1307" s="38" t="s">
        <v>2238</v>
      </c>
      <c r="H1307" s="58" t="str">
        <f>Table1[[#This Row],[Tabela]]&amp;Table1[[#This Row],[Campo]]</f>
        <v>lt002_instrumentFLG_MNMM_SFGRDS</v>
      </c>
      <c r="I1307" s="2" t="s">
        <v>28</v>
      </c>
      <c r="J1307" s="44">
        <f>VLOOKUP(Table1[[#This Row],[Status]],Auxiliar!$B$16:$C$24,2,0)</f>
        <v>8</v>
      </c>
      <c r="K1307" s="44" t="s">
        <v>1188</v>
      </c>
      <c r="L1307" s="45" t="s">
        <v>1193</v>
      </c>
      <c r="M1307" s="20" t="s">
        <v>1194</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4.950000000000003" hidden="1" customHeight="1">
      <c r="B1308" s="38" t="s">
        <v>26</v>
      </c>
      <c r="C1308" s="38" t="s">
        <v>26</v>
      </c>
      <c r="D1308" s="36" t="s">
        <v>1888</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1187</v>
      </c>
      <c r="L1308" s="45" t="s">
        <v>1193</v>
      </c>
      <c r="M1308" s="20" t="s">
        <v>1194</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7" hidden="1" customHeight="1">
      <c r="B1309" s="38" t="s">
        <v>26</v>
      </c>
      <c r="C1309" s="38" t="s">
        <v>26</v>
      </c>
      <c r="D1309" s="38" t="s">
        <v>1888</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1188</v>
      </c>
      <c r="L1309" s="45" t="s">
        <v>1193</v>
      </c>
      <c r="M1309" s="20" t="s">
        <v>1194</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7" hidden="1" customHeight="1">
      <c r="B1310" s="38" t="s">
        <v>26</v>
      </c>
      <c r="C1310" s="38" t="s">
        <v>26</v>
      </c>
      <c r="D1310" s="38" t="s">
        <v>1888</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1190</v>
      </c>
      <c r="L1310" s="45" t="s">
        <v>1193</v>
      </c>
      <c r="M1310" s="20" t="s">
        <v>1194</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4.950000000000003" hidden="1" customHeight="1">
      <c r="B1311" s="38" t="s">
        <v>26</v>
      </c>
      <c r="C1311" s="38" t="s">
        <v>26</v>
      </c>
      <c r="D1311" s="36" t="s">
        <v>1888</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1187</v>
      </c>
      <c r="L1311" s="45" t="s">
        <v>1193</v>
      </c>
      <c r="M1311" s="20" t="s">
        <v>1194</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7" hidden="1" customHeight="1">
      <c r="B1312" s="38" t="s">
        <v>26</v>
      </c>
      <c r="C1312" s="38" t="s">
        <v>26</v>
      </c>
      <c r="D1312" s="38" t="s">
        <v>1888</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1188</v>
      </c>
      <c r="L1312" s="45" t="s">
        <v>1193</v>
      </c>
      <c r="M1312" s="20" t="s">
        <v>1194</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7" hidden="1" customHeight="1">
      <c r="B1313" s="38" t="s">
        <v>26</v>
      </c>
      <c r="C1313" s="38" t="s">
        <v>26</v>
      </c>
      <c r="D1313" s="38" t="s">
        <v>1888</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1190</v>
      </c>
      <c r="L1313" s="45" t="s">
        <v>1193</v>
      </c>
      <c r="M1313" s="20" t="s">
        <v>1194</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4.950000000000003" hidden="1" customHeight="1">
      <c r="B1314" s="38" t="s">
        <v>26</v>
      </c>
      <c r="C1314" s="38" t="s">
        <v>26</v>
      </c>
      <c r="D1314" s="36" t="s">
        <v>1888</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1187</v>
      </c>
      <c r="L1314" s="45" t="s">
        <v>1193</v>
      </c>
      <c r="M1314" s="20" t="s">
        <v>1194</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7" hidden="1" customHeight="1">
      <c r="B1315" s="38" t="s">
        <v>26</v>
      </c>
      <c r="C1315" s="38" t="s">
        <v>26</v>
      </c>
      <c r="D1315" s="38" t="s">
        <v>1888</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1188</v>
      </c>
      <c r="L1315" s="45" t="s">
        <v>1193</v>
      </c>
      <c r="M1315" s="20" t="s">
        <v>1194</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7" hidden="1" customHeight="1">
      <c r="B1316" s="38" t="s">
        <v>26</v>
      </c>
      <c r="C1316" s="38" t="s">
        <v>26</v>
      </c>
      <c r="D1316" s="38" t="s">
        <v>1888</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1190</v>
      </c>
      <c r="L1316" s="45" t="s">
        <v>1193</v>
      </c>
      <c r="M1316" s="20" t="s">
        <v>1194</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7" hidden="1" customHeight="1">
      <c r="B1317" s="38" t="s">
        <v>26</v>
      </c>
      <c r="C1317" s="38" t="s">
        <v>26</v>
      </c>
      <c r="D1317" s="39" t="s">
        <v>1298</v>
      </c>
      <c r="E1317" s="41" t="s">
        <v>1299</v>
      </c>
      <c r="F1317" s="39" t="s">
        <v>379</v>
      </c>
      <c r="G1317" s="37" t="s">
        <v>388</v>
      </c>
      <c r="H1317" s="59" t="str">
        <f>Table1[[#This Row],[Tabela]]&amp;Table1[[#This Row],[Campo]]</f>
        <v>lt002_instrumentsstnbl_ctgry_txnmy</v>
      </c>
      <c r="I1317" s="2" t="s">
        <v>612</v>
      </c>
      <c r="J1317" s="44">
        <f>VLOOKUP(Table1[[#This Row],[Status]],Auxiliar!$B$16:$C$24,2,0)</f>
        <v>1</v>
      </c>
      <c r="K1317" s="44" t="s">
        <v>1187</v>
      </c>
      <c r="L1317" s="45" t="s">
        <v>1193</v>
      </c>
      <c r="M1317" s="20" t="s">
        <v>1194</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7" hidden="1" customHeight="1">
      <c r="B1318" s="38" t="s">
        <v>26</v>
      </c>
      <c r="C1318" s="38" t="s">
        <v>26</v>
      </c>
      <c r="D1318" s="38" t="s">
        <v>1298</v>
      </c>
      <c r="E1318" s="38" t="s">
        <v>1299</v>
      </c>
      <c r="F1318" s="38" t="s">
        <v>379</v>
      </c>
      <c r="G1318" s="38" t="s">
        <v>388</v>
      </c>
      <c r="H1318" s="58" t="str">
        <f>Table1[[#This Row],[Tabela]]&amp;Table1[[#This Row],[Campo]]</f>
        <v>lt002_instrumentsstnbl_ctgry_txnmy</v>
      </c>
      <c r="I1318" s="2" t="s">
        <v>612</v>
      </c>
      <c r="J1318" s="44">
        <f>VLOOKUP(Table1[[#This Row],[Status]],Auxiliar!$B$16:$C$24,2,0)</f>
        <v>1</v>
      </c>
      <c r="K1318" s="44" t="s">
        <v>1188</v>
      </c>
      <c r="L1318" s="45" t="s">
        <v>1193</v>
      </c>
      <c r="M1318" s="20" t="s">
        <v>1194</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7" hidden="1" customHeight="1">
      <c r="B1319" s="38" t="s">
        <v>26</v>
      </c>
      <c r="C1319" s="38" t="s">
        <v>26</v>
      </c>
      <c r="D1319" s="38" t="s">
        <v>1298</v>
      </c>
      <c r="E1319" s="38" t="s">
        <v>1299</v>
      </c>
      <c r="F1319" s="38" t="s">
        <v>379</v>
      </c>
      <c r="G1319" s="38" t="s">
        <v>388</v>
      </c>
      <c r="H1319" s="58" t="str">
        <f>Table1[[#This Row],[Tabela]]&amp;Table1[[#This Row],[Campo]]</f>
        <v>lt002_instrumentsstnbl_ctgry_txnmy</v>
      </c>
      <c r="I1319" s="2" t="s">
        <v>612</v>
      </c>
      <c r="J1319" s="44">
        <f>VLOOKUP(Table1[[#This Row],[Status]],Auxiliar!$B$16:$C$24,2,0)</f>
        <v>1</v>
      </c>
      <c r="K1319" s="44" t="s">
        <v>1190</v>
      </c>
      <c r="L1319" s="45" t="s">
        <v>1193</v>
      </c>
      <c r="M1319" s="20" t="s">
        <v>1194</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7" hidden="1" customHeight="1">
      <c r="B1320" s="38" t="s">
        <v>26</v>
      </c>
      <c r="C1320" s="38" t="s">
        <v>26</v>
      </c>
      <c r="D1320" s="2" t="s">
        <v>38</v>
      </c>
      <c r="E1320" s="39" t="s">
        <v>38</v>
      </c>
      <c r="F1320" s="39" t="s">
        <v>1888</v>
      </c>
      <c r="G1320" s="39" t="s">
        <v>390</v>
      </c>
      <c r="H1320" s="59" t="str">
        <f>Table1[[#This Row],[Tabela]]&amp;Table1[[#This Row],[Campo]]</f>
        <v>lt827_mthd_usd_instrmntambito</v>
      </c>
      <c r="I1320" s="2" t="s">
        <v>612</v>
      </c>
      <c r="J1320" s="44">
        <f>VLOOKUP(Table1[[#This Row],[Status]],Auxiliar!$B$16:$C$24,2,0)</f>
        <v>1</v>
      </c>
      <c r="K1320" s="44" t="s">
        <v>1187</v>
      </c>
      <c r="L1320" s="45" t="s">
        <v>1193</v>
      </c>
      <c r="M1320" s="20" t="s">
        <v>1194</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7" hidden="1" customHeight="1">
      <c r="B1321" s="38" t="s">
        <v>26</v>
      </c>
      <c r="C1321" s="38" t="s">
        <v>26</v>
      </c>
      <c r="D1321" s="2" t="s">
        <v>38</v>
      </c>
      <c r="E1321" s="38" t="s">
        <v>38</v>
      </c>
      <c r="F1321" s="38" t="s">
        <v>1888</v>
      </c>
      <c r="G1321" s="38" t="s">
        <v>390</v>
      </c>
      <c r="H1321" s="58" t="str">
        <f>Table1[[#This Row],[Tabela]]&amp;Table1[[#This Row],[Campo]]</f>
        <v>lt827_mthd_usd_instrmntambito</v>
      </c>
      <c r="I1321" s="2" t="s">
        <v>612</v>
      </c>
      <c r="J1321" s="44">
        <f>VLOOKUP(Table1[[#This Row],[Status]],Auxiliar!$B$16:$C$24,2,0)</f>
        <v>1</v>
      </c>
      <c r="K1321" s="44" t="s">
        <v>1188</v>
      </c>
      <c r="L1321" s="45" t="s">
        <v>1193</v>
      </c>
      <c r="M1321" s="20" t="s">
        <v>1194</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7" hidden="1" customHeight="1">
      <c r="B1322" s="38" t="s">
        <v>26</v>
      </c>
      <c r="C1322" s="38" t="s">
        <v>26</v>
      </c>
      <c r="D1322" s="2" t="s">
        <v>38</v>
      </c>
      <c r="E1322" s="38" t="s">
        <v>38</v>
      </c>
      <c r="F1322" s="38" t="s">
        <v>1888</v>
      </c>
      <c r="G1322" s="38" t="s">
        <v>390</v>
      </c>
      <c r="H1322" s="58" t="str">
        <f>Table1[[#This Row],[Tabela]]&amp;Table1[[#This Row],[Campo]]</f>
        <v>lt827_mthd_usd_instrmntambito</v>
      </c>
      <c r="I1322" s="2" t="s">
        <v>612</v>
      </c>
      <c r="J1322" s="44">
        <f>VLOOKUP(Table1[[#This Row],[Status]],Auxiliar!$B$16:$C$24,2,0)</f>
        <v>1</v>
      </c>
      <c r="K1322" s="44" t="s">
        <v>1190</v>
      </c>
      <c r="L1322" s="45" t="s">
        <v>1193</v>
      </c>
      <c r="M1322" s="20" t="s">
        <v>1194</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7" hidden="1" customHeight="1">
      <c r="B1323" s="38" t="s">
        <v>26</v>
      </c>
      <c r="C1323" s="38" t="s">
        <v>26</v>
      </c>
      <c r="D1323" s="2" t="s">
        <v>38</v>
      </c>
      <c r="E1323" s="39" t="s">
        <v>38</v>
      </c>
      <c r="F1323" s="39" t="s">
        <v>1888</v>
      </c>
      <c r="G1323" s="39" t="s">
        <v>208</v>
      </c>
      <c r="H1323" s="59" t="str">
        <f>Table1[[#This Row],[Tabela]]&amp;Table1[[#This Row],[Campo]]</f>
        <v>lt827_mthd_usd_instrmntref_date</v>
      </c>
      <c r="I1323" s="2" t="s">
        <v>612</v>
      </c>
      <c r="J1323" s="44">
        <f>VLOOKUP(Table1[[#This Row],[Status]],Auxiliar!$B$16:$C$24,2,0)</f>
        <v>1</v>
      </c>
      <c r="K1323" s="44" t="s">
        <v>1187</v>
      </c>
      <c r="L1323" s="45" t="s">
        <v>1193</v>
      </c>
      <c r="M1323" s="20" t="s">
        <v>1194</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7" hidden="1" customHeight="1">
      <c r="B1324" s="38" t="s">
        <v>26</v>
      </c>
      <c r="C1324" s="38" t="s">
        <v>26</v>
      </c>
      <c r="D1324" s="2" t="s">
        <v>38</v>
      </c>
      <c r="E1324" s="38" t="s">
        <v>38</v>
      </c>
      <c r="F1324" s="38" t="s">
        <v>1888</v>
      </c>
      <c r="G1324" s="38" t="s">
        <v>208</v>
      </c>
      <c r="H1324" s="58" t="str">
        <f>Table1[[#This Row],[Tabela]]&amp;Table1[[#This Row],[Campo]]</f>
        <v>lt827_mthd_usd_instrmntref_date</v>
      </c>
      <c r="I1324" s="2" t="s">
        <v>612</v>
      </c>
      <c r="J1324" s="44">
        <f>VLOOKUP(Table1[[#This Row],[Status]],Auxiliar!$B$16:$C$24,2,0)</f>
        <v>1</v>
      </c>
      <c r="K1324" s="44" t="s">
        <v>1188</v>
      </c>
      <c r="L1324" s="45" t="s">
        <v>1193</v>
      </c>
      <c r="M1324" s="20" t="s">
        <v>1194</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7" hidden="1" customHeight="1">
      <c r="B1325" s="38" t="s">
        <v>26</v>
      </c>
      <c r="C1325" s="38" t="s">
        <v>26</v>
      </c>
      <c r="D1325" s="2" t="s">
        <v>38</v>
      </c>
      <c r="E1325" s="38" t="s">
        <v>38</v>
      </c>
      <c r="F1325" s="38" t="s">
        <v>1888</v>
      </c>
      <c r="G1325" s="38" t="s">
        <v>208</v>
      </c>
      <c r="H1325" s="58" t="str">
        <f>Table1[[#This Row],[Tabela]]&amp;Table1[[#This Row],[Campo]]</f>
        <v>lt827_mthd_usd_instrmntref_date</v>
      </c>
      <c r="I1325" s="2" t="s">
        <v>612</v>
      </c>
      <c r="J1325" s="44">
        <f>VLOOKUP(Table1[[#This Row],[Status]],Auxiliar!$B$16:$C$24,2,0)</f>
        <v>1</v>
      </c>
      <c r="K1325" s="44" t="s">
        <v>1190</v>
      </c>
      <c r="L1325" s="45" t="s">
        <v>1193</v>
      </c>
      <c r="M1325" s="20" t="s">
        <v>1194</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7" hidden="1" customHeight="1">
      <c r="B1326" s="38" t="s">
        <v>26</v>
      </c>
      <c r="C1326" s="38" t="s">
        <v>26</v>
      </c>
      <c r="D1326" s="2" t="s">
        <v>38</v>
      </c>
      <c r="E1326" s="39" t="s">
        <v>38</v>
      </c>
      <c r="F1326" s="39" t="s">
        <v>1888</v>
      </c>
      <c r="G1326" s="39" t="s">
        <v>211</v>
      </c>
      <c r="H1326" s="59" t="str">
        <f>Table1[[#This Row],[Tabela]]&amp;Table1[[#This Row],[Campo]]</f>
        <v>lt827_mthd_usd_instrmntordem</v>
      </c>
      <c r="I1326" s="2" t="s">
        <v>612</v>
      </c>
      <c r="J1326" s="44">
        <f>VLOOKUP(Table1[[#This Row],[Status]],Auxiliar!$B$16:$C$24,2,0)</f>
        <v>1</v>
      </c>
      <c r="K1326" s="44" t="s">
        <v>1187</v>
      </c>
      <c r="L1326" s="45" t="s">
        <v>1193</v>
      </c>
      <c r="M1326" s="20" t="s">
        <v>1194</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7" hidden="1" customHeight="1">
      <c r="B1327" s="38" t="s">
        <v>26</v>
      </c>
      <c r="C1327" s="38" t="s">
        <v>26</v>
      </c>
      <c r="D1327" s="2" t="s">
        <v>38</v>
      </c>
      <c r="E1327" s="38" t="s">
        <v>38</v>
      </c>
      <c r="F1327" s="38" t="s">
        <v>1888</v>
      </c>
      <c r="G1327" s="38" t="s">
        <v>211</v>
      </c>
      <c r="H1327" s="58" t="str">
        <f>Table1[[#This Row],[Tabela]]&amp;Table1[[#This Row],[Campo]]</f>
        <v>lt827_mthd_usd_instrmntordem</v>
      </c>
      <c r="I1327" s="2" t="s">
        <v>612</v>
      </c>
      <c r="J1327" s="44">
        <f>VLOOKUP(Table1[[#This Row],[Status]],Auxiliar!$B$16:$C$24,2,0)</f>
        <v>1</v>
      </c>
      <c r="K1327" s="44" t="s">
        <v>1188</v>
      </c>
      <c r="L1327" s="45" t="s">
        <v>1193</v>
      </c>
      <c r="M1327" s="20" t="s">
        <v>1194</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7" hidden="1" customHeight="1">
      <c r="B1328" s="38" t="s">
        <v>26</v>
      </c>
      <c r="C1328" s="38" t="s">
        <v>26</v>
      </c>
      <c r="D1328" s="2" t="s">
        <v>38</v>
      </c>
      <c r="E1328" s="38" t="s">
        <v>38</v>
      </c>
      <c r="F1328" s="38" t="s">
        <v>1888</v>
      </c>
      <c r="G1328" s="38" t="s">
        <v>211</v>
      </c>
      <c r="H1328" s="58" t="str">
        <f>Table1[[#This Row],[Tabela]]&amp;Table1[[#This Row],[Campo]]</f>
        <v>lt827_mthd_usd_instrmntordem</v>
      </c>
      <c r="I1328" s="2" t="s">
        <v>612</v>
      </c>
      <c r="J1328" s="44">
        <f>VLOOKUP(Table1[[#This Row],[Status]],Auxiliar!$B$16:$C$24,2,0)</f>
        <v>1</v>
      </c>
      <c r="K1328" s="44" t="s">
        <v>1190</v>
      </c>
      <c r="L1328" s="45" t="s">
        <v>1193</v>
      </c>
      <c r="M1328" s="20" t="s">
        <v>1194</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7" hidden="1" customHeight="1">
      <c r="B1329" s="38" t="s">
        <v>26</v>
      </c>
      <c r="C1329" s="38" t="s">
        <v>26</v>
      </c>
      <c r="D1329" s="2" t="s">
        <v>38</v>
      </c>
      <c r="E1329" s="39" t="s">
        <v>38</v>
      </c>
      <c r="F1329" s="39" t="s">
        <v>1888</v>
      </c>
      <c r="G1329" s="39" t="s">
        <v>391</v>
      </c>
      <c r="H1329" s="59" t="str">
        <f>Table1[[#This Row],[Tabela]]&amp;Table1[[#This Row],[Campo]]</f>
        <v>lt827_mthd_usd_instrmnttabela</v>
      </c>
      <c r="I1329" s="2" t="s">
        <v>612</v>
      </c>
      <c r="J1329" s="44">
        <f>VLOOKUP(Table1[[#This Row],[Status]],Auxiliar!$B$16:$C$24,2,0)</f>
        <v>1</v>
      </c>
      <c r="K1329" s="44" t="s">
        <v>1187</v>
      </c>
      <c r="L1329" s="45" t="s">
        <v>1193</v>
      </c>
      <c r="M1329" s="20" t="s">
        <v>1194</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7" hidden="1" customHeight="1">
      <c r="B1330" s="38" t="s">
        <v>26</v>
      </c>
      <c r="C1330" s="38" t="s">
        <v>26</v>
      </c>
      <c r="D1330" s="2" t="s">
        <v>38</v>
      </c>
      <c r="E1330" s="38" t="s">
        <v>38</v>
      </c>
      <c r="F1330" s="38" t="s">
        <v>1888</v>
      </c>
      <c r="G1330" s="38" t="s">
        <v>391</v>
      </c>
      <c r="H1330" s="58" t="str">
        <f>Table1[[#This Row],[Tabela]]&amp;Table1[[#This Row],[Campo]]</f>
        <v>lt827_mthd_usd_instrmnttabela</v>
      </c>
      <c r="I1330" s="2" t="s">
        <v>612</v>
      </c>
      <c r="J1330" s="44">
        <f>VLOOKUP(Table1[[#This Row],[Status]],Auxiliar!$B$16:$C$24,2,0)</f>
        <v>1</v>
      </c>
      <c r="K1330" s="44" t="s">
        <v>1188</v>
      </c>
      <c r="L1330" s="45" t="s">
        <v>1193</v>
      </c>
      <c r="M1330" s="20" t="s">
        <v>1194</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7" hidden="1" customHeight="1">
      <c r="B1331" s="38" t="s">
        <v>26</v>
      </c>
      <c r="C1331" s="38" t="s">
        <v>26</v>
      </c>
      <c r="D1331" s="2" t="s">
        <v>38</v>
      </c>
      <c r="E1331" s="38" t="s">
        <v>38</v>
      </c>
      <c r="F1331" s="38" t="s">
        <v>1888</v>
      </c>
      <c r="G1331" s="38" t="s">
        <v>391</v>
      </c>
      <c r="H1331" s="58" t="str">
        <f>Table1[[#This Row],[Tabela]]&amp;Table1[[#This Row],[Campo]]</f>
        <v>lt827_mthd_usd_instrmnttabela</v>
      </c>
      <c r="I1331" s="2" t="s">
        <v>612</v>
      </c>
      <c r="J1331" s="44">
        <f>VLOOKUP(Table1[[#This Row],[Status]],Auxiliar!$B$16:$C$24,2,0)</f>
        <v>1</v>
      </c>
      <c r="K1331" s="44" t="s">
        <v>1190</v>
      </c>
      <c r="L1331" s="45" t="s">
        <v>1193</v>
      </c>
      <c r="M1331" s="20" t="s">
        <v>1194</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7" hidden="1" customHeight="1">
      <c r="B1332" s="38" t="s">
        <v>26</v>
      </c>
      <c r="C1332" s="38" t="s">
        <v>26</v>
      </c>
      <c r="D1332" s="2" t="s">
        <v>38</v>
      </c>
      <c r="E1332" s="39" t="s">
        <v>38</v>
      </c>
      <c r="F1332" s="39" t="s">
        <v>1888</v>
      </c>
      <c r="G1332" s="37" t="s">
        <v>319</v>
      </c>
      <c r="H1332" s="59" t="str">
        <f>Table1[[#This Row],[Tabela]]&amp;Table1[[#This Row],[Campo]]</f>
        <v>lt827_mthd_usd_instrmntorigem_scp1_emss</v>
      </c>
      <c r="I1332" s="2" t="s">
        <v>612</v>
      </c>
      <c r="J1332" s="44">
        <f>VLOOKUP(Table1[[#This Row],[Status]],Auxiliar!$B$16:$C$24,2,0)</f>
        <v>1</v>
      </c>
      <c r="K1332" s="44" t="s">
        <v>1187</v>
      </c>
      <c r="L1332" s="45" t="s">
        <v>1193</v>
      </c>
      <c r="M1332" s="20" t="s">
        <v>1194</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7" hidden="1" customHeight="1">
      <c r="B1333" s="38" t="s">
        <v>26</v>
      </c>
      <c r="C1333" s="38" t="s">
        <v>26</v>
      </c>
      <c r="D1333" s="2" t="s">
        <v>38</v>
      </c>
      <c r="E1333" s="38" t="s">
        <v>38</v>
      </c>
      <c r="F1333" s="38" t="s">
        <v>1888</v>
      </c>
      <c r="G1333" s="38" t="s">
        <v>319</v>
      </c>
      <c r="H1333" s="58" t="str">
        <f>Table1[[#This Row],[Tabela]]&amp;Table1[[#This Row],[Campo]]</f>
        <v>lt827_mthd_usd_instrmntorigem_scp1_emss</v>
      </c>
      <c r="I1333" s="2" t="s">
        <v>612</v>
      </c>
      <c r="J1333" s="44">
        <f>VLOOKUP(Table1[[#This Row],[Status]],Auxiliar!$B$16:$C$24,2,0)</f>
        <v>1</v>
      </c>
      <c r="K1333" s="44" t="s">
        <v>1188</v>
      </c>
      <c r="L1333" s="45" t="s">
        <v>1193</v>
      </c>
      <c r="M1333" s="20" t="s">
        <v>1194</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7" hidden="1" customHeight="1">
      <c r="B1334" s="38" t="s">
        <v>26</v>
      </c>
      <c r="C1334" s="38" t="s">
        <v>26</v>
      </c>
      <c r="D1334" s="2" t="s">
        <v>38</v>
      </c>
      <c r="E1334" s="38" t="s">
        <v>38</v>
      </c>
      <c r="F1334" s="38" t="s">
        <v>1888</v>
      </c>
      <c r="G1334" s="38" t="s">
        <v>319</v>
      </c>
      <c r="H1334" s="58" t="str">
        <f>Table1[[#This Row],[Tabela]]&amp;Table1[[#This Row],[Campo]]</f>
        <v>lt827_mthd_usd_instrmntorigem_scp1_emss</v>
      </c>
      <c r="I1334" s="2" t="s">
        <v>612</v>
      </c>
      <c r="J1334" s="44">
        <f>VLOOKUP(Table1[[#This Row],[Status]],Auxiliar!$B$16:$C$24,2,0)</f>
        <v>1</v>
      </c>
      <c r="K1334" s="44" t="s">
        <v>1190</v>
      </c>
      <c r="L1334" s="45" t="s">
        <v>1193</v>
      </c>
      <c r="M1334" s="20" t="s">
        <v>1194</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7" hidden="1" customHeight="1">
      <c r="B1335" s="38" t="s">
        <v>26</v>
      </c>
      <c r="C1335" s="38" t="s">
        <v>26</v>
      </c>
      <c r="D1335" s="2" t="s">
        <v>38</v>
      </c>
      <c r="E1335" s="39" t="s">
        <v>38</v>
      </c>
      <c r="F1335" s="39" t="s">
        <v>1888</v>
      </c>
      <c r="G1335" s="37" t="s">
        <v>320</v>
      </c>
      <c r="H1335" s="59" t="str">
        <f>Table1[[#This Row],[Tabela]]&amp;Table1[[#This Row],[Campo]]</f>
        <v>lt827_mthd_usd_instrmntorigem_scp2_emss</v>
      </c>
      <c r="I1335" s="2" t="s">
        <v>612</v>
      </c>
      <c r="J1335" s="44">
        <f>VLOOKUP(Table1[[#This Row],[Status]],Auxiliar!$B$16:$C$24,2,0)</f>
        <v>1</v>
      </c>
      <c r="K1335" s="44" t="s">
        <v>1187</v>
      </c>
      <c r="L1335" s="45" t="s">
        <v>1193</v>
      </c>
      <c r="M1335" s="20" t="s">
        <v>1194</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7" hidden="1" customHeight="1">
      <c r="B1336" s="38" t="s">
        <v>26</v>
      </c>
      <c r="C1336" s="38" t="s">
        <v>26</v>
      </c>
      <c r="D1336" s="2" t="s">
        <v>38</v>
      </c>
      <c r="E1336" s="38" t="s">
        <v>38</v>
      </c>
      <c r="F1336" s="38" t="s">
        <v>1888</v>
      </c>
      <c r="G1336" s="38" t="s">
        <v>320</v>
      </c>
      <c r="H1336" s="58" t="str">
        <f>Table1[[#This Row],[Tabela]]&amp;Table1[[#This Row],[Campo]]</f>
        <v>lt827_mthd_usd_instrmntorigem_scp2_emss</v>
      </c>
      <c r="I1336" s="2" t="s">
        <v>612</v>
      </c>
      <c r="J1336" s="44">
        <f>VLOOKUP(Table1[[#This Row],[Status]],Auxiliar!$B$16:$C$24,2,0)</f>
        <v>1</v>
      </c>
      <c r="K1336" s="44" t="s">
        <v>1188</v>
      </c>
      <c r="L1336" s="45" t="s">
        <v>1193</v>
      </c>
      <c r="M1336" s="20" t="s">
        <v>1194</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7" hidden="1" customHeight="1">
      <c r="B1337" s="38" t="s">
        <v>26</v>
      </c>
      <c r="C1337" s="38" t="s">
        <v>26</v>
      </c>
      <c r="D1337" s="2" t="s">
        <v>38</v>
      </c>
      <c r="E1337" s="38" t="s">
        <v>38</v>
      </c>
      <c r="F1337" s="38" t="s">
        <v>1888</v>
      </c>
      <c r="G1337" s="38" t="s">
        <v>320</v>
      </c>
      <c r="H1337" s="58" t="str">
        <f>Table1[[#This Row],[Tabela]]&amp;Table1[[#This Row],[Campo]]</f>
        <v>lt827_mthd_usd_instrmntorigem_scp2_emss</v>
      </c>
      <c r="I1337" s="2" t="s">
        <v>612</v>
      </c>
      <c r="J1337" s="44">
        <f>VLOOKUP(Table1[[#This Row],[Status]],Auxiliar!$B$16:$C$24,2,0)</f>
        <v>1</v>
      </c>
      <c r="K1337" s="44" t="s">
        <v>1190</v>
      </c>
      <c r="L1337" s="45" t="s">
        <v>1193</v>
      </c>
      <c r="M1337" s="20" t="s">
        <v>1194</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7" hidden="1" customHeight="1">
      <c r="B1338" s="38" t="s">
        <v>26</v>
      </c>
      <c r="C1338" s="38" t="s">
        <v>26</v>
      </c>
      <c r="D1338" s="2" t="s">
        <v>38</v>
      </c>
      <c r="E1338" s="39" t="s">
        <v>38</v>
      </c>
      <c r="F1338" s="39" t="s">
        <v>1888</v>
      </c>
      <c r="G1338" s="37" t="s">
        <v>321</v>
      </c>
      <c r="H1338" s="59" t="str">
        <f>Table1[[#This Row],[Tabela]]&amp;Table1[[#This Row],[Campo]]</f>
        <v>lt827_mthd_usd_instrmntorigem_scp3_emss</v>
      </c>
      <c r="I1338" s="2" t="s">
        <v>612</v>
      </c>
      <c r="J1338" s="44">
        <f>VLOOKUP(Table1[[#This Row],[Status]],Auxiliar!$B$16:$C$24,2,0)</f>
        <v>1</v>
      </c>
      <c r="K1338" s="44" t="s">
        <v>1187</v>
      </c>
      <c r="L1338" s="45" t="s">
        <v>1193</v>
      </c>
      <c r="M1338" s="20" t="s">
        <v>1194</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7" hidden="1" customHeight="1">
      <c r="B1339" s="38" t="s">
        <v>26</v>
      </c>
      <c r="C1339" s="38" t="s">
        <v>26</v>
      </c>
      <c r="D1339" s="2" t="s">
        <v>38</v>
      </c>
      <c r="E1339" s="38" t="s">
        <v>38</v>
      </c>
      <c r="F1339" s="38" t="s">
        <v>1888</v>
      </c>
      <c r="G1339" s="38" t="s">
        <v>321</v>
      </c>
      <c r="H1339" s="58" t="str">
        <f>Table1[[#This Row],[Tabela]]&amp;Table1[[#This Row],[Campo]]</f>
        <v>lt827_mthd_usd_instrmntorigem_scp3_emss</v>
      </c>
      <c r="I1339" s="2" t="s">
        <v>612</v>
      </c>
      <c r="J1339" s="44">
        <f>VLOOKUP(Table1[[#This Row],[Status]],Auxiliar!$B$16:$C$24,2,0)</f>
        <v>1</v>
      </c>
      <c r="K1339" s="44" t="s">
        <v>1188</v>
      </c>
      <c r="L1339" s="45" t="s">
        <v>1193</v>
      </c>
      <c r="M1339" s="20" t="s">
        <v>1194</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7" hidden="1" customHeight="1">
      <c r="B1340" s="38" t="s">
        <v>26</v>
      </c>
      <c r="C1340" s="38" t="s">
        <v>26</v>
      </c>
      <c r="D1340" s="2" t="s">
        <v>38</v>
      </c>
      <c r="E1340" s="38" t="s">
        <v>38</v>
      </c>
      <c r="F1340" s="38" t="s">
        <v>1888</v>
      </c>
      <c r="G1340" s="38" t="s">
        <v>321</v>
      </c>
      <c r="H1340" s="58" t="str">
        <f>Table1[[#This Row],[Tabela]]&amp;Table1[[#This Row],[Campo]]</f>
        <v>lt827_mthd_usd_instrmntorigem_scp3_emss</v>
      </c>
      <c r="I1340" s="2" t="s">
        <v>612</v>
      </c>
      <c r="J1340" s="44">
        <f>VLOOKUP(Table1[[#This Row],[Status]],Auxiliar!$B$16:$C$24,2,0)</f>
        <v>1</v>
      </c>
      <c r="K1340" s="44" t="s">
        <v>1190</v>
      </c>
      <c r="L1340" s="45" t="s">
        <v>1193</v>
      </c>
      <c r="M1340" s="20" t="s">
        <v>1194</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7" hidden="1" customHeight="1">
      <c r="B1341" s="38" t="s">
        <v>26</v>
      </c>
      <c r="C1341" s="38" t="s">
        <v>26</v>
      </c>
      <c r="D1341" s="2" t="s">
        <v>38</v>
      </c>
      <c r="E1341" s="39" t="s">
        <v>38</v>
      </c>
      <c r="F1341" s="39" t="s">
        <v>1888</v>
      </c>
      <c r="G1341" s="37" t="s">
        <v>385</v>
      </c>
      <c r="H1341" s="59" t="str">
        <f>Table1[[#This Row],[Tabela]]&amp;Table1[[#This Row],[Campo]]</f>
        <v>lt827_mthd_usd_instrmntmthd_usd_instrmnt_scp_1</v>
      </c>
      <c r="I1341" s="2" t="s">
        <v>612</v>
      </c>
      <c r="J1341" s="44">
        <f>VLOOKUP(Table1[[#This Row],[Status]],Auxiliar!$B$16:$C$24,2,0)</f>
        <v>1</v>
      </c>
      <c r="K1341" s="44" t="s">
        <v>1187</v>
      </c>
      <c r="L1341" s="45" t="s">
        <v>1193</v>
      </c>
      <c r="M1341" s="20" t="s">
        <v>1194</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7" hidden="1" customHeight="1">
      <c r="B1342" s="38" t="s">
        <v>26</v>
      </c>
      <c r="C1342" s="38" t="s">
        <v>26</v>
      </c>
      <c r="D1342" s="2" t="s">
        <v>38</v>
      </c>
      <c r="E1342" s="38" t="s">
        <v>38</v>
      </c>
      <c r="F1342" s="38" t="s">
        <v>1888</v>
      </c>
      <c r="G1342" s="38" t="s">
        <v>385</v>
      </c>
      <c r="H1342" s="58" t="str">
        <f>Table1[[#This Row],[Tabela]]&amp;Table1[[#This Row],[Campo]]</f>
        <v>lt827_mthd_usd_instrmntmthd_usd_instrmnt_scp_1</v>
      </c>
      <c r="I1342" s="2" t="s">
        <v>612</v>
      </c>
      <c r="J1342" s="44">
        <f>VLOOKUP(Table1[[#This Row],[Status]],Auxiliar!$B$16:$C$24,2,0)</f>
        <v>1</v>
      </c>
      <c r="K1342" s="44" t="s">
        <v>1188</v>
      </c>
      <c r="L1342" s="45" t="s">
        <v>1193</v>
      </c>
      <c r="M1342" s="20" t="s">
        <v>1194</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7" hidden="1" customHeight="1">
      <c r="B1343" s="38" t="s">
        <v>26</v>
      </c>
      <c r="C1343" s="38" t="s">
        <v>26</v>
      </c>
      <c r="D1343" s="2" t="s">
        <v>38</v>
      </c>
      <c r="E1343" s="38" t="s">
        <v>38</v>
      </c>
      <c r="F1343" s="38" t="s">
        <v>1888</v>
      </c>
      <c r="G1343" s="38" t="s">
        <v>385</v>
      </c>
      <c r="H1343" s="58" t="str">
        <f>Table1[[#This Row],[Tabela]]&amp;Table1[[#This Row],[Campo]]</f>
        <v>lt827_mthd_usd_instrmntmthd_usd_instrmnt_scp_1</v>
      </c>
      <c r="I1343" s="2" t="s">
        <v>612</v>
      </c>
      <c r="J1343" s="44">
        <f>VLOOKUP(Table1[[#This Row],[Status]],Auxiliar!$B$16:$C$24,2,0)</f>
        <v>1</v>
      </c>
      <c r="K1343" s="44" t="s">
        <v>1190</v>
      </c>
      <c r="L1343" s="45" t="s">
        <v>1193</v>
      </c>
      <c r="M1343" s="20" t="s">
        <v>1194</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7" hidden="1" customHeight="1">
      <c r="B1344" s="38" t="s">
        <v>26</v>
      </c>
      <c r="C1344" s="38" t="s">
        <v>26</v>
      </c>
      <c r="D1344" s="2" t="s">
        <v>38</v>
      </c>
      <c r="E1344" s="39" t="s">
        <v>38</v>
      </c>
      <c r="F1344" s="39" t="s">
        <v>1888</v>
      </c>
      <c r="G1344" s="37" t="s">
        <v>386</v>
      </c>
      <c r="H1344" s="59" t="str">
        <f>Table1[[#This Row],[Tabela]]&amp;Table1[[#This Row],[Campo]]</f>
        <v>lt827_mthd_usd_instrmntmthd_usd_instrmnt_scp_2</v>
      </c>
      <c r="I1344" s="2" t="s">
        <v>612</v>
      </c>
      <c r="J1344" s="44">
        <f>VLOOKUP(Table1[[#This Row],[Status]],Auxiliar!$B$16:$C$24,2,0)</f>
        <v>1</v>
      </c>
      <c r="K1344" s="44" t="s">
        <v>1187</v>
      </c>
      <c r="L1344" s="45" t="s">
        <v>1193</v>
      </c>
      <c r="M1344" s="20" t="s">
        <v>1194</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7" hidden="1" customHeight="1">
      <c r="B1345" s="38" t="s">
        <v>26</v>
      </c>
      <c r="C1345" s="38" t="s">
        <v>26</v>
      </c>
      <c r="D1345" s="2" t="s">
        <v>38</v>
      </c>
      <c r="E1345" s="38" t="s">
        <v>38</v>
      </c>
      <c r="F1345" s="38" t="s">
        <v>1888</v>
      </c>
      <c r="G1345" s="38" t="s">
        <v>386</v>
      </c>
      <c r="H1345" s="58" t="str">
        <f>Table1[[#This Row],[Tabela]]&amp;Table1[[#This Row],[Campo]]</f>
        <v>lt827_mthd_usd_instrmntmthd_usd_instrmnt_scp_2</v>
      </c>
      <c r="I1345" s="2" t="s">
        <v>612</v>
      </c>
      <c r="J1345" s="44">
        <f>VLOOKUP(Table1[[#This Row],[Status]],Auxiliar!$B$16:$C$24,2,0)</f>
        <v>1</v>
      </c>
      <c r="K1345" s="44" t="s">
        <v>1188</v>
      </c>
      <c r="L1345" s="45" t="s">
        <v>1193</v>
      </c>
      <c r="M1345" s="20" t="s">
        <v>1194</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7" hidden="1" customHeight="1">
      <c r="B1346" s="38" t="s">
        <v>26</v>
      </c>
      <c r="C1346" s="38" t="s">
        <v>26</v>
      </c>
      <c r="D1346" s="2" t="s">
        <v>38</v>
      </c>
      <c r="E1346" s="38" t="s">
        <v>38</v>
      </c>
      <c r="F1346" s="38" t="s">
        <v>1888</v>
      </c>
      <c r="G1346" s="38" t="s">
        <v>386</v>
      </c>
      <c r="H1346" s="58" t="str">
        <f>Table1[[#This Row],[Tabela]]&amp;Table1[[#This Row],[Campo]]</f>
        <v>lt827_mthd_usd_instrmntmthd_usd_instrmnt_scp_2</v>
      </c>
      <c r="I1346" s="2" t="s">
        <v>612</v>
      </c>
      <c r="J1346" s="44">
        <f>VLOOKUP(Table1[[#This Row],[Status]],Auxiliar!$B$16:$C$24,2,0)</f>
        <v>1</v>
      </c>
      <c r="K1346" s="44" t="s">
        <v>1190</v>
      </c>
      <c r="L1346" s="45" t="s">
        <v>1193</v>
      </c>
      <c r="M1346" s="20" t="s">
        <v>1194</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7" hidden="1" customHeight="1">
      <c r="B1347" s="38" t="s">
        <v>26</v>
      </c>
      <c r="C1347" s="38" t="s">
        <v>26</v>
      </c>
      <c r="D1347" s="2" t="s">
        <v>38</v>
      </c>
      <c r="E1347" s="39" t="s">
        <v>38</v>
      </c>
      <c r="F1347" s="39" t="s">
        <v>1888</v>
      </c>
      <c r="G1347" s="37" t="s">
        <v>387</v>
      </c>
      <c r="H1347" s="59" t="str">
        <f>Table1[[#This Row],[Tabela]]&amp;Table1[[#This Row],[Campo]]</f>
        <v>lt827_mthd_usd_instrmntmthd_usd_instrmnt_scp_3</v>
      </c>
      <c r="I1347" s="2" t="s">
        <v>612</v>
      </c>
      <c r="J1347" s="44">
        <f>VLOOKUP(Table1[[#This Row],[Status]],Auxiliar!$B$16:$C$24,2,0)</f>
        <v>1</v>
      </c>
      <c r="K1347" s="44" t="s">
        <v>1187</v>
      </c>
      <c r="L1347" s="45" t="s">
        <v>1193</v>
      </c>
      <c r="M1347" s="20" t="s">
        <v>1194</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7" hidden="1" customHeight="1">
      <c r="B1348" s="38" t="s">
        <v>26</v>
      </c>
      <c r="C1348" s="38" t="s">
        <v>26</v>
      </c>
      <c r="D1348" s="2" t="s">
        <v>38</v>
      </c>
      <c r="E1348" s="38" t="s">
        <v>38</v>
      </c>
      <c r="F1348" s="38" t="s">
        <v>1888</v>
      </c>
      <c r="G1348" s="38" t="s">
        <v>387</v>
      </c>
      <c r="H1348" s="58" t="str">
        <f>Table1[[#This Row],[Tabela]]&amp;Table1[[#This Row],[Campo]]</f>
        <v>lt827_mthd_usd_instrmntmthd_usd_instrmnt_scp_3</v>
      </c>
      <c r="I1348" s="2" t="s">
        <v>612</v>
      </c>
      <c r="J1348" s="44">
        <f>VLOOKUP(Table1[[#This Row],[Status]],Auxiliar!$B$16:$C$24,2,0)</f>
        <v>1</v>
      </c>
      <c r="K1348" s="44" t="s">
        <v>1188</v>
      </c>
      <c r="L1348" s="45" t="s">
        <v>1193</v>
      </c>
      <c r="M1348" s="20" t="s">
        <v>1194</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7" hidden="1" customHeight="1">
      <c r="B1349" s="38" t="s">
        <v>26</v>
      </c>
      <c r="C1349" s="38" t="s">
        <v>26</v>
      </c>
      <c r="D1349" s="2" t="s">
        <v>38</v>
      </c>
      <c r="E1349" s="38" t="s">
        <v>38</v>
      </c>
      <c r="F1349" s="38" t="s">
        <v>1888</v>
      </c>
      <c r="G1349" s="38" t="s">
        <v>387</v>
      </c>
      <c r="H1349" s="58" t="str">
        <f>Table1[[#This Row],[Tabela]]&amp;Table1[[#This Row],[Campo]]</f>
        <v>lt827_mthd_usd_instrmntmthd_usd_instrmnt_scp_3</v>
      </c>
      <c r="I1349" s="2" t="s">
        <v>612</v>
      </c>
      <c r="J1349" s="44">
        <f>VLOOKUP(Table1[[#This Row],[Status]],Auxiliar!$B$16:$C$24,2,0)</f>
        <v>1</v>
      </c>
      <c r="K1349" s="44" t="s">
        <v>1190</v>
      </c>
      <c r="L1349" s="45" t="s">
        <v>1193</v>
      </c>
      <c r="M1349" s="20" t="s">
        <v>1194</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7" hidden="1" customHeight="1">
      <c r="B1350" s="38" t="s">
        <v>26</v>
      </c>
      <c r="C1350" s="38" t="s">
        <v>26</v>
      </c>
      <c r="D1350" s="2" t="s">
        <v>38</v>
      </c>
      <c r="E1350" s="38" t="s">
        <v>38</v>
      </c>
      <c r="F1350" s="38" t="s">
        <v>1888</v>
      </c>
      <c r="G1350" s="38" t="s">
        <v>1874</v>
      </c>
      <c r="H1350" s="58" t="str">
        <f>Table1[[#This Row],[Tabela]]&amp;Table1[[#This Row],[Campo]]</f>
        <v>lt827_mthd_usd_instrmntpurpose_code</v>
      </c>
      <c r="I1350" s="2" t="s">
        <v>612</v>
      </c>
      <c r="J1350" s="44">
        <f>VLOOKUP(Table1[[#This Row],[Status]],Auxiliar!$B$16:$C$24,2,0)</f>
        <v>1</v>
      </c>
      <c r="K1350" s="44" t="s">
        <v>1187</v>
      </c>
      <c r="L1350" s="45" t="s">
        <v>1193</v>
      </c>
      <c r="M1350" s="20" t="s">
        <v>1194</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7" hidden="1" customHeight="1">
      <c r="B1351" s="38" t="s">
        <v>26</v>
      </c>
      <c r="C1351" s="38" t="s">
        <v>26</v>
      </c>
      <c r="D1351" s="2" t="s">
        <v>38</v>
      </c>
      <c r="E1351" s="38" t="s">
        <v>38</v>
      </c>
      <c r="F1351" s="38" t="s">
        <v>1888</v>
      </c>
      <c r="G1351" s="38" t="s">
        <v>1874</v>
      </c>
      <c r="H1351" s="58" t="str">
        <f>Table1[[#This Row],[Tabela]]&amp;Table1[[#This Row],[Campo]]</f>
        <v>lt827_mthd_usd_instrmntpurpose_code</v>
      </c>
      <c r="I1351" s="2" t="s">
        <v>612</v>
      </c>
      <c r="J1351" s="44">
        <f>VLOOKUP(Table1[[#This Row],[Status]],Auxiliar!$B$16:$C$24,2,0)</f>
        <v>1</v>
      </c>
      <c r="K1351" s="44" t="s">
        <v>1188</v>
      </c>
      <c r="L1351" s="45" t="s">
        <v>1193</v>
      </c>
      <c r="M1351" s="20" t="s">
        <v>1194</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7" hidden="1" customHeight="1">
      <c r="B1352" s="38" t="s">
        <v>26</v>
      </c>
      <c r="C1352" s="38" t="s">
        <v>26</v>
      </c>
      <c r="D1352" s="2" t="s">
        <v>38</v>
      </c>
      <c r="E1352" s="38" t="s">
        <v>38</v>
      </c>
      <c r="F1352" s="38" t="s">
        <v>1888</v>
      </c>
      <c r="G1352" s="38" t="s">
        <v>1874</v>
      </c>
      <c r="H1352" s="58" t="str">
        <f>Table1[[#This Row],[Tabela]]&amp;Table1[[#This Row],[Campo]]</f>
        <v>lt827_mthd_usd_instrmntpurpose_code</v>
      </c>
      <c r="I1352" s="2" t="s">
        <v>612</v>
      </c>
      <c r="J1352" s="44">
        <f>VLOOKUP(Table1[[#This Row],[Status]],Auxiliar!$B$16:$C$24,2,0)</f>
        <v>1</v>
      </c>
      <c r="K1352" s="44" t="s">
        <v>1190</v>
      </c>
      <c r="L1352" s="45" t="s">
        <v>1193</v>
      </c>
      <c r="M1352" s="20" t="s">
        <v>1194</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7" hidden="1" customHeight="1">
      <c r="B1353" s="38" t="s">
        <v>26</v>
      </c>
      <c r="C1353" s="38" t="s">
        <v>26</v>
      </c>
      <c r="D1353" s="2" t="s">
        <v>38</v>
      </c>
      <c r="E1353" s="38" t="s">
        <v>38</v>
      </c>
      <c r="F1353" s="38" t="s">
        <v>1888</v>
      </c>
      <c r="G1353" s="38" t="s">
        <v>480</v>
      </c>
      <c r="H1353" s="58" t="str">
        <f>Table1[[#This Row],[Tabela]]&amp;Table1[[#This Row],[Campo]]</f>
        <v>lt827_mthd_usd_instrmntflg_fin</v>
      </c>
      <c r="I1353" s="2" t="s">
        <v>612</v>
      </c>
      <c r="J1353" s="44">
        <f>VLOOKUP(Table1[[#This Row],[Status]],Auxiliar!$B$16:$C$24,2,0)</f>
        <v>1</v>
      </c>
      <c r="K1353" s="44" t="s">
        <v>1187</v>
      </c>
      <c r="L1353" s="45" t="s">
        <v>1193</v>
      </c>
      <c r="M1353" s="20" t="s">
        <v>1194</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7" hidden="1" customHeight="1">
      <c r="B1354" s="38" t="s">
        <v>26</v>
      </c>
      <c r="C1354" s="38" t="s">
        <v>26</v>
      </c>
      <c r="D1354" s="2" t="s">
        <v>38</v>
      </c>
      <c r="E1354" s="38" t="s">
        <v>38</v>
      </c>
      <c r="F1354" s="38" t="s">
        <v>1888</v>
      </c>
      <c r="G1354" s="38" t="s">
        <v>480</v>
      </c>
      <c r="H1354" s="58" t="str">
        <f>Table1[[#This Row],[Tabela]]&amp;Table1[[#This Row],[Campo]]</f>
        <v>lt827_mthd_usd_instrmntflg_fin</v>
      </c>
      <c r="I1354" s="2" t="s">
        <v>612</v>
      </c>
      <c r="J1354" s="44">
        <f>VLOOKUP(Table1[[#This Row],[Status]],Auxiliar!$B$16:$C$24,2,0)</f>
        <v>1</v>
      </c>
      <c r="K1354" s="44" t="s">
        <v>1188</v>
      </c>
      <c r="L1354" s="45" t="s">
        <v>1193</v>
      </c>
      <c r="M1354" s="20" t="s">
        <v>1194</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7" hidden="1" customHeight="1">
      <c r="B1355" s="38" t="s">
        <v>26</v>
      </c>
      <c r="C1355" s="38" t="s">
        <v>26</v>
      </c>
      <c r="D1355" s="2" t="s">
        <v>38</v>
      </c>
      <c r="E1355" s="38" t="s">
        <v>38</v>
      </c>
      <c r="F1355" s="38" t="s">
        <v>1888</v>
      </c>
      <c r="G1355" s="38" t="s">
        <v>480</v>
      </c>
      <c r="H1355" s="58" t="str">
        <f>Table1[[#This Row],[Tabela]]&amp;Table1[[#This Row],[Campo]]</f>
        <v>lt827_mthd_usd_instrmntflg_fin</v>
      </c>
      <c r="I1355" s="2" t="s">
        <v>612</v>
      </c>
      <c r="J1355" s="44">
        <f>VLOOKUP(Table1[[#This Row],[Status]],Auxiliar!$B$16:$C$24,2,0)</f>
        <v>1</v>
      </c>
      <c r="K1355" s="44" t="s">
        <v>1190</v>
      </c>
      <c r="L1355" s="45" t="s">
        <v>1193</v>
      </c>
      <c r="M1355" s="20" t="s">
        <v>1194</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7" hidden="1" customHeight="1">
      <c r="B1356" s="38" t="s">
        <v>26</v>
      </c>
      <c r="C1356" s="38" t="s">
        <v>26</v>
      </c>
      <c r="D1356" s="2" t="s">
        <v>38</v>
      </c>
      <c r="E1356" s="38" t="s">
        <v>38</v>
      </c>
      <c r="F1356" s="38" t="s">
        <v>1888</v>
      </c>
      <c r="G1356" s="38" t="s">
        <v>1296</v>
      </c>
      <c r="H1356" s="58" t="str">
        <f>Table1[[#This Row],[Tabela]]&amp;Table1[[#This Row],[Campo]]</f>
        <v>lt827_mthd_usd_instrmntflg_exec</v>
      </c>
      <c r="I1356" s="2" t="s">
        <v>612</v>
      </c>
      <c r="J1356" s="44">
        <f>VLOOKUP(Table1[[#This Row],[Status]],Auxiliar!$B$16:$C$24,2,0)</f>
        <v>1</v>
      </c>
      <c r="K1356" s="44" t="s">
        <v>1187</v>
      </c>
      <c r="L1356" s="45" t="s">
        <v>1193</v>
      </c>
      <c r="M1356" s="20" t="s">
        <v>1194</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7" hidden="1" customHeight="1">
      <c r="B1357" s="38" t="s">
        <v>26</v>
      </c>
      <c r="C1357" s="38" t="s">
        <v>26</v>
      </c>
      <c r="D1357" s="2" t="s">
        <v>38</v>
      </c>
      <c r="E1357" s="38" t="s">
        <v>38</v>
      </c>
      <c r="F1357" s="38" t="s">
        <v>1888</v>
      </c>
      <c r="G1357" s="38" t="s">
        <v>1296</v>
      </c>
      <c r="H1357" s="58" t="str">
        <f>Table1[[#This Row],[Tabela]]&amp;Table1[[#This Row],[Campo]]</f>
        <v>lt827_mthd_usd_instrmntflg_exec</v>
      </c>
      <c r="I1357" s="2" t="s">
        <v>612</v>
      </c>
      <c r="J1357" s="44">
        <f>VLOOKUP(Table1[[#This Row],[Status]],Auxiliar!$B$16:$C$24,2,0)</f>
        <v>1</v>
      </c>
      <c r="K1357" s="44" t="s">
        <v>1188</v>
      </c>
      <c r="L1357" s="45" t="s">
        <v>1193</v>
      </c>
      <c r="M1357" s="20" t="s">
        <v>1194</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7" hidden="1" customHeight="1">
      <c r="B1358" s="38" t="s">
        <v>26</v>
      </c>
      <c r="C1358" s="38" t="s">
        <v>26</v>
      </c>
      <c r="D1358" s="2" t="s">
        <v>38</v>
      </c>
      <c r="E1358" s="38" t="s">
        <v>38</v>
      </c>
      <c r="F1358" s="38" t="s">
        <v>1888</v>
      </c>
      <c r="G1358" s="38" t="s">
        <v>1296</v>
      </c>
      <c r="H1358" s="58" t="str">
        <f>Table1[[#This Row],[Tabela]]&amp;Table1[[#This Row],[Campo]]</f>
        <v>lt827_mthd_usd_instrmntflg_exec</v>
      </c>
      <c r="I1358" s="2" t="s">
        <v>612</v>
      </c>
      <c r="J1358" s="44">
        <f>VLOOKUP(Table1[[#This Row],[Status]],Auxiliar!$B$16:$C$24,2,0)</f>
        <v>1</v>
      </c>
      <c r="K1358" s="44" t="s">
        <v>1190</v>
      </c>
      <c r="L1358" s="45" t="s">
        <v>1193</v>
      </c>
      <c r="M1358" s="20" t="s">
        <v>1194</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7" hidden="1" customHeight="1">
      <c r="B1359" s="38" t="s">
        <v>26</v>
      </c>
      <c r="C1359" s="38" t="s">
        <v>26</v>
      </c>
      <c r="D1359" s="2" t="s">
        <v>38</v>
      </c>
      <c r="E1359" s="38" t="s">
        <v>38</v>
      </c>
      <c r="F1359" s="38" t="s">
        <v>1888</v>
      </c>
      <c r="G1359" s="38" t="s">
        <v>479</v>
      </c>
      <c r="H1359" s="58" t="str">
        <f>Table1[[#This Row],[Tabela]]&amp;Table1[[#This Row],[Campo]]</f>
        <v>lt827_mthd_usd_instrmntflg_col</v>
      </c>
      <c r="I1359" s="2" t="s">
        <v>612</v>
      </c>
      <c r="J1359" s="44">
        <f>VLOOKUP(Table1[[#This Row],[Status]],Auxiliar!$B$16:$C$24,2,0)</f>
        <v>1</v>
      </c>
      <c r="K1359" s="44" t="s">
        <v>1187</v>
      </c>
      <c r="L1359" s="45" t="s">
        <v>1193</v>
      </c>
      <c r="M1359" s="20" t="s">
        <v>1194</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7" hidden="1" customHeight="1">
      <c r="B1360" s="38" t="s">
        <v>26</v>
      </c>
      <c r="C1360" s="38" t="s">
        <v>26</v>
      </c>
      <c r="D1360" s="2" t="s">
        <v>38</v>
      </c>
      <c r="E1360" s="38" t="s">
        <v>38</v>
      </c>
      <c r="F1360" s="38" t="s">
        <v>1888</v>
      </c>
      <c r="G1360" s="38" t="s">
        <v>479</v>
      </c>
      <c r="H1360" s="58" t="str">
        <f>Table1[[#This Row],[Tabela]]&amp;Table1[[#This Row],[Campo]]</f>
        <v>lt827_mthd_usd_instrmntflg_col</v>
      </c>
      <c r="I1360" s="2" t="s">
        <v>612</v>
      </c>
      <c r="J1360" s="44">
        <f>VLOOKUP(Table1[[#This Row],[Status]],Auxiliar!$B$16:$C$24,2,0)</f>
        <v>1</v>
      </c>
      <c r="K1360" s="44" t="s">
        <v>1188</v>
      </c>
      <c r="L1360" s="45" t="s">
        <v>1193</v>
      </c>
      <c r="M1360" s="20" t="s">
        <v>1194</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7" hidden="1" customHeight="1">
      <c r="B1361" s="38" t="s">
        <v>26</v>
      </c>
      <c r="C1361" s="38" t="s">
        <v>26</v>
      </c>
      <c r="D1361" s="2" t="s">
        <v>38</v>
      </c>
      <c r="E1361" s="38" t="s">
        <v>38</v>
      </c>
      <c r="F1361" s="38" t="s">
        <v>1888</v>
      </c>
      <c r="G1361" s="38" t="s">
        <v>479</v>
      </c>
      <c r="H1361" s="58" t="str">
        <f>Table1[[#This Row],[Tabela]]&amp;Table1[[#This Row],[Campo]]</f>
        <v>lt827_mthd_usd_instrmntflg_col</v>
      </c>
      <c r="I1361" s="2" t="s">
        <v>612</v>
      </c>
      <c r="J1361" s="44">
        <f>VLOOKUP(Table1[[#This Row],[Status]],Auxiliar!$B$16:$C$24,2,0)</f>
        <v>1</v>
      </c>
      <c r="K1361" s="44" t="s">
        <v>1190</v>
      </c>
      <c r="L1361" s="45" t="s">
        <v>1193</v>
      </c>
      <c r="M1361" s="20" t="s">
        <v>1194</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7" hidden="1" customHeight="1">
      <c r="B1362" s="38" t="s">
        <v>26</v>
      </c>
      <c r="C1362" s="38" t="s">
        <v>26</v>
      </c>
      <c r="D1362" s="2" t="s">
        <v>38</v>
      </c>
      <c r="E1362" s="38" t="s">
        <v>38</v>
      </c>
      <c r="F1362" s="38" t="s">
        <v>1888</v>
      </c>
      <c r="G1362" s="38" t="s">
        <v>481</v>
      </c>
      <c r="H1362" s="58" t="str">
        <f>Table1[[#This Row],[Tabela]]&amp;Table1[[#This Row],[Campo]]</f>
        <v>lt827_mthd_usd_instrmntflg_pro</v>
      </c>
      <c r="I1362" s="2" t="s">
        <v>612</v>
      </c>
      <c r="J1362" s="44">
        <f>VLOOKUP(Table1[[#This Row],[Status]],Auxiliar!$B$16:$C$24,2,0)</f>
        <v>1</v>
      </c>
      <c r="K1362" s="44" t="s">
        <v>1187</v>
      </c>
      <c r="L1362" s="45" t="s">
        <v>1193</v>
      </c>
      <c r="M1362" s="20" t="s">
        <v>1194</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7" hidden="1" customHeight="1">
      <c r="B1363" s="38" t="s">
        <v>26</v>
      </c>
      <c r="C1363" s="38" t="s">
        <v>26</v>
      </c>
      <c r="D1363" s="2" t="s">
        <v>38</v>
      </c>
      <c r="E1363" s="38" t="s">
        <v>38</v>
      </c>
      <c r="F1363" s="38" t="s">
        <v>1888</v>
      </c>
      <c r="G1363" s="38" t="s">
        <v>481</v>
      </c>
      <c r="H1363" s="58" t="str">
        <f>Table1[[#This Row],[Tabela]]&amp;Table1[[#This Row],[Campo]]</f>
        <v>lt827_mthd_usd_instrmntflg_pro</v>
      </c>
      <c r="I1363" s="2" t="s">
        <v>612</v>
      </c>
      <c r="J1363" s="44">
        <f>VLOOKUP(Table1[[#This Row],[Status]],Auxiliar!$B$16:$C$24,2,0)</f>
        <v>1</v>
      </c>
      <c r="K1363" s="44" t="s">
        <v>1188</v>
      </c>
      <c r="L1363" s="45" t="s">
        <v>1193</v>
      </c>
      <c r="M1363" s="20" t="s">
        <v>1194</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7" hidden="1" customHeight="1">
      <c r="B1364" s="38" t="s">
        <v>26</v>
      </c>
      <c r="C1364" s="38" t="s">
        <v>26</v>
      </c>
      <c r="D1364" s="2" t="s">
        <v>38</v>
      </c>
      <c r="E1364" s="38" t="s">
        <v>38</v>
      </c>
      <c r="F1364" s="38" t="s">
        <v>1888</v>
      </c>
      <c r="G1364" s="38" t="s">
        <v>481</v>
      </c>
      <c r="H1364" s="58" t="str">
        <f>Table1[[#This Row],[Tabela]]&amp;Table1[[#This Row],[Campo]]</f>
        <v>lt827_mthd_usd_instrmntflg_pro</v>
      </c>
      <c r="I1364" s="2" t="s">
        <v>612</v>
      </c>
      <c r="J1364" s="44">
        <f>VLOOKUP(Table1[[#This Row],[Status]],Auxiliar!$B$16:$C$24,2,0)</f>
        <v>1</v>
      </c>
      <c r="K1364" s="44" t="s">
        <v>1190</v>
      </c>
      <c r="L1364" s="45" t="s">
        <v>1193</v>
      </c>
      <c r="M1364" s="20" t="s">
        <v>1194</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7"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1187</v>
      </c>
      <c r="L1365" s="45" t="s">
        <v>1193</v>
      </c>
      <c r="M1365" s="20" t="s">
        <v>1194</v>
      </c>
      <c r="N1365" s="47">
        <v>45581</v>
      </c>
      <c r="O1365" s="20">
        <f>INDEX(Auxiliar!$D$5:$F$13,MATCH(Table1[[#This Row],[Tipologia_Testes]],Auxiliar!$B$5:$B$13,0),MATCH(Table1[[#This Row],[Complexidade]],Auxiliar!$D$4:$F$4,0))</f>
        <v>2</v>
      </c>
      <c r="P1365" s="42" t="s">
        <v>1276</v>
      </c>
      <c r="Q1365" s="151"/>
      <c r="R1365" s="151">
        <v>45261</v>
      </c>
      <c r="S1365" s="151"/>
      <c r="T1365" s="151"/>
      <c r="U1365" s="151"/>
      <c r="V1365" s="151"/>
      <c r="W1365" s="2">
        <f>VLOOKUP(Table1[[#This Row],[Status]],Auxiliar!$B$16:$D$24,3,0)*Table1[[#This Row],[Estimação (horas)]]</f>
        <v>2</v>
      </c>
      <c r="X1365" s="113"/>
    </row>
    <row r="1366" spans="2:24" ht="17.7"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1188</v>
      </c>
      <c r="L1366" s="45" t="s">
        <v>1193</v>
      </c>
      <c r="M1366" s="20" t="s">
        <v>1194</v>
      </c>
      <c r="N1366" s="47">
        <v>45581</v>
      </c>
      <c r="O1366" s="20">
        <f>INDEX(Auxiliar!$D$5:$F$13,MATCH(Table1[[#This Row],[Tipologia_Testes]],Auxiliar!$B$5:$B$13,0),MATCH(Table1[[#This Row],[Complexidade]],Auxiliar!$D$4:$F$4,0))</f>
        <v>2</v>
      </c>
      <c r="P1366" s="42" t="s">
        <v>1276</v>
      </c>
      <c r="Q1366" s="151"/>
      <c r="R1366" s="151">
        <v>45261</v>
      </c>
      <c r="S1366" s="151"/>
      <c r="T1366" s="151"/>
      <c r="U1366" s="151"/>
      <c r="V1366" s="151"/>
      <c r="W1366" s="2">
        <f>VLOOKUP(Table1[[#This Row],[Status]],Auxiliar!$B$16:$D$24,3,0)*Table1[[#This Row],[Estimação (horas)]]</f>
        <v>2</v>
      </c>
      <c r="X1366" s="113"/>
    </row>
    <row r="1367" spans="2:24" ht="17.7"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1190</v>
      </c>
      <c r="L1367" s="45" t="s">
        <v>1193</v>
      </c>
      <c r="M1367" s="20" t="s">
        <v>1194</v>
      </c>
      <c r="N1367" s="47">
        <v>45581</v>
      </c>
      <c r="O1367" s="20">
        <f>INDEX(Auxiliar!$D$5:$F$13,MATCH(Table1[[#This Row],[Tipologia_Testes]],Auxiliar!$B$5:$B$13,0),MATCH(Table1[[#This Row],[Complexidade]],Auxiliar!$D$4:$F$4,0))</f>
        <v>0.1</v>
      </c>
      <c r="P1367" s="42" t="s">
        <v>1276</v>
      </c>
      <c r="Q1367" s="151"/>
      <c r="R1367" s="151">
        <v>45261</v>
      </c>
      <c r="S1367" s="151"/>
      <c r="T1367" s="151"/>
      <c r="U1367" s="151"/>
      <c r="V1367" s="151"/>
      <c r="W1367" s="2">
        <f>VLOOKUP(Table1[[#This Row],[Status]],Auxiliar!$B$16:$D$24,3,0)*Table1[[#This Row],[Estimação (horas)]]</f>
        <v>0.1</v>
      </c>
      <c r="X1367" s="113"/>
    </row>
    <row r="1368" spans="2:24" ht="17.7"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1187</v>
      </c>
      <c r="L1368" s="45" t="s">
        <v>1193</v>
      </c>
      <c r="M1368" s="20" t="s">
        <v>1194</v>
      </c>
      <c r="N1368" s="47">
        <v>45581</v>
      </c>
      <c r="O1368" s="20">
        <f>INDEX(Auxiliar!$D$5:$F$13,MATCH(Table1[[#This Row],[Tipologia_Testes]],Auxiliar!$B$5:$B$13,0),MATCH(Table1[[#This Row],[Complexidade]],Auxiliar!$D$4:$F$4,0))</f>
        <v>2</v>
      </c>
      <c r="P1368" s="42" t="s">
        <v>1276</v>
      </c>
      <c r="Q1368" s="151"/>
      <c r="R1368" s="151">
        <v>45261</v>
      </c>
      <c r="S1368" s="151"/>
      <c r="T1368" s="151"/>
      <c r="U1368" s="151"/>
      <c r="V1368" s="151"/>
      <c r="W1368" s="2">
        <f>VLOOKUP(Table1[[#This Row],[Status]],Auxiliar!$B$16:$D$24,3,0)*Table1[[#This Row],[Estimação (horas)]]</f>
        <v>2</v>
      </c>
      <c r="X1368" s="113"/>
    </row>
    <row r="1369" spans="2:24" ht="17.7"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1188</v>
      </c>
      <c r="L1369" s="45" t="s">
        <v>1193</v>
      </c>
      <c r="M1369" s="20" t="s">
        <v>1194</v>
      </c>
      <c r="N1369" s="47">
        <v>45581</v>
      </c>
      <c r="O1369" s="20">
        <f>INDEX(Auxiliar!$D$5:$F$13,MATCH(Table1[[#This Row],[Tipologia_Testes]],Auxiliar!$B$5:$B$13,0),MATCH(Table1[[#This Row],[Complexidade]],Auxiliar!$D$4:$F$4,0))</f>
        <v>2</v>
      </c>
      <c r="P1369" s="42" t="s">
        <v>1276</v>
      </c>
      <c r="Q1369" s="151"/>
      <c r="R1369" s="151">
        <v>45261</v>
      </c>
      <c r="S1369" s="151"/>
      <c r="T1369" s="151"/>
      <c r="U1369" s="151"/>
      <c r="V1369" s="151"/>
      <c r="W1369" s="2">
        <f>VLOOKUP(Table1[[#This Row],[Status]],Auxiliar!$B$16:$D$24,3,0)*Table1[[#This Row],[Estimação (horas)]]</f>
        <v>2</v>
      </c>
      <c r="X1369" s="113"/>
    </row>
    <row r="1370" spans="2:24" ht="17.7"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1190</v>
      </c>
      <c r="L1370" s="45" t="s">
        <v>1193</v>
      </c>
      <c r="M1370" s="20" t="s">
        <v>1194</v>
      </c>
      <c r="N1370" s="47">
        <v>45581</v>
      </c>
      <c r="O1370" s="20">
        <f>INDEX(Auxiliar!$D$5:$F$13,MATCH(Table1[[#This Row],[Tipologia_Testes]],Auxiliar!$B$5:$B$13,0),MATCH(Table1[[#This Row],[Complexidade]],Auxiliar!$D$4:$F$4,0))</f>
        <v>0.1</v>
      </c>
      <c r="P1370" s="42" t="s">
        <v>1276</v>
      </c>
      <c r="Q1370" s="151"/>
      <c r="R1370" s="151">
        <v>45261</v>
      </c>
      <c r="S1370" s="151"/>
      <c r="T1370" s="151"/>
      <c r="U1370" s="151"/>
      <c r="V1370" s="151"/>
      <c r="W1370" s="2">
        <f>VLOOKUP(Table1[[#This Row],[Status]],Auxiliar!$B$16:$D$24,3,0)*Table1[[#This Row],[Estimação (horas)]]</f>
        <v>0.1</v>
      </c>
      <c r="X1370" s="113"/>
    </row>
    <row r="1371" spans="2:24" ht="17.7"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1187</v>
      </c>
      <c r="L1371" s="45" t="s">
        <v>1193</v>
      </c>
      <c r="M1371" s="20" t="s">
        <v>1194</v>
      </c>
      <c r="N1371" s="47">
        <v>45581</v>
      </c>
      <c r="O1371" s="20">
        <f>INDEX(Auxiliar!$D$5:$F$13,MATCH(Table1[[#This Row],[Tipologia_Testes]],Auxiliar!$B$5:$B$13,0),MATCH(Table1[[#This Row],[Complexidade]],Auxiliar!$D$4:$F$4,0))</f>
        <v>2</v>
      </c>
      <c r="P1371" s="42" t="s">
        <v>1276</v>
      </c>
      <c r="Q1371" s="151"/>
      <c r="R1371" s="151">
        <v>45261</v>
      </c>
      <c r="S1371" s="151"/>
      <c r="T1371" s="151"/>
      <c r="U1371" s="151"/>
      <c r="V1371" s="151"/>
      <c r="W1371" s="2">
        <f>VLOOKUP(Table1[[#This Row],[Status]],Auxiliar!$B$16:$D$24,3,0)*Table1[[#This Row],[Estimação (horas)]]</f>
        <v>2</v>
      </c>
      <c r="X1371" s="113"/>
    </row>
    <row r="1372" spans="2:24" ht="17.7"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1188</v>
      </c>
      <c r="L1372" s="45" t="s">
        <v>1193</v>
      </c>
      <c r="M1372" s="20" t="s">
        <v>1194</v>
      </c>
      <c r="N1372" s="47">
        <v>45581</v>
      </c>
      <c r="O1372" s="20">
        <f>INDEX(Auxiliar!$D$5:$F$13,MATCH(Table1[[#This Row],[Tipologia_Testes]],Auxiliar!$B$5:$B$13,0),MATCH(Table1[[#This Row],[Complexidade]],Auxiliar!$D$4:$F$4,0))</f>
        <v>2</v>
      </c>
      <c r="P1372" s="42" t="s">
        <v>1276</v>
      </c>
      <c r="Q1372" s="151"/>
      <c r="R1372" s="151">
        <v>45261</v>
      </c>
      <c r="S1372" s="151"/>
      <c r="T1372" s="151"/>
      <c r="U1372" s="151"/>
      <c r="V1372" s="151"/>
      <c r="W1372" s="2">
        <f>VLOOKUP(Table1[[#This Row],[Status]],Auxiliar!$B$16:$D$24,3,0)*Table1[[#This Row],[Estimação (horas)]]</f>
        <v>2</v>
      </c>
      <c r="X1372" s="113"/>
    </row>
    <row r="1373" spans="2:24" ht="17.7"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1190</v>
      </c>
      <c r="L1373" s="45" t="s">
        <v>1193</v>
      </c>
      <c r="M1373" s="20" t="s">
        <v>1194</v>
      </c>
      <c r="N1373" s="47">
        <v>45581</v>
      </c>
      <c r="O1373" s="20">
        <f>INDEX(Auxiliar!$D$5:$F$13,MATCH(Table1[[#This Row],[Tipologia_Testes]],Auxiliar!$B$5:$B$13,0),MATCH(Table1[[#This Row],[Complexidade]],Auxiliar!$D$4:$F$4,0))</f>
        <v>0.1</v>
      </c>
      <c r="P1373" s="42" t="s">
        <v>1276</v>
      </c>
      <c r="Q1373" s="151"/>
      <c r="R1373" s="151">
        <v>45261</v>
      </c>
      <c r="S1373" s="151"/>
      <c r="T1373" s="151"/>
      <c r="U1373" s="151"/>
      <c r="V1373" s="151"/>
      <c r="W1373" s="2">
        <f>VLOOKUP(Table1[[#This Row],[Status]],Auxiliar!$B$16:$D$24,3,0)*Table1[[#This Row],[Estimação (horas)]]</f>
        <v>0.1</v>
      </c>
      <c r="X1373" s="113"/>
    </row>
    <row r="1374" spans="2:24" ht="17.7"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1187</v>
      </c>
      <c r="L1374" s="45" t="s">
        <v>1193</v>
      </c>
      <c r="M1374" s="20" t="s">
        <v>1194</v>
      </c>
      <c r="N1374" s="47">
        <v>45581</v>
      </c>
      <c r="O1374" s="20">
        <f>INDEX(Auxiliar!$D$5:$F$13,MATCH(Table1[[#This Row],[Tipologia_Testes]],Auxiliar!$B$5:$B$13,0),MATCH(Table1[[#This Row],[Complexidade]],Auxiliar!$D$4:$F$4,0))</f>
        <v>2</v>
      </c>
      <c r="P1374" s="42" t="s">
        <v>1276</v>
      </c>
      <c r="Q1374" s="151"/>
      <c r="R1374" s="151">
        <v>45261</v>
      </c>
      <c r="S1374" s="151"/>
      <c r="T1374" s="151"/>
      <c r="U1374" s="151"/>
      <c r="V1374" s="151"/>
      <c r="W1374" s="2">
        <f>VLOOKUP(Table1[[#This Row],[Status]],Auxiliar!$B$16:$D$24,3,0)*Table1[[#This Row],[Estimação (horas)]]</f>
        <v>2</v>
      </c>
      <c r="X1374" s="113"/>
    </row>
    <row r="1375" spans="2:24" ht="17.7"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1188</v>
      </c>
      <c r="L1375" s="45" t="s">
        <v>1193</v>
      </c>
      <c r="M1375" s="20" t="s">
        <v>1194</v>
      </c>
      <c r="N1375" s="47">
        <v>45581</v>
      </c>
      <c r="O1375" s="20">
        <f>INDEX(Auxiliar!$D$5:$F$13,MATCH(Table1[[#This Row],[Tipologia_Testes]],Auxiliar!$B$5:$B$13,0),MATCH(Table1[[#This Row],[Complexidade]],Auxiliar!$D$4:$F$4,0))</f>
        <v>2</v>
      </c>
      <c r="P1375" s="42" t="s">
        <v>1276</v>
      </c>
      <c r="Q1375" s="151"/>
      <c r="R1375" s="151">
        <v>45261</v>
      </c>
      <c r="S1375" s="151"/>
      <c r="T1375" s="151"/>
      <c r="U1375" s="151"/>
      <c r="V1375" s="151"/>
      <c r="W1375" s="2">
        <f>VLOOKUP(Table1[[#This Row],[Status]],Auxiliar!$B$16:$D$24,3,0)*Table1[[#This Row],[Estimação (horas)]]</f>
        <v>2</v>
      </c>
      <c r="X1375" s="113"/>
    </row>
    <row r="1376" spans="2:24" ht="17.7"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1190</v>
      </c>
      <c r="L1376" s="45" t="s">
        <v>1193</v>
      </c>
      <c r="M1376" s="20" t="s">
        <v>1194</v>
      </c>
      <c r="N1376" s="47">
        <v>45581</v>
      </c>
      <c r="O1376" s="20">
        <f>INDEX(Auxiliar!$D$5:$F$13,MATCH(Table1[[#This Row],[Tipologia_Testes]],Auxiliar!$B$5:$B$13,0),MATCH(Table1[[#This Row],[Complexidade]],Auxiliar!$D$4:$F$4,0))</f>
        <v>0.1</v>
      </c>
      <c r="P1376" s="42" t="s">
        <v>1276</v>
      </c>
      <c r="Q1376" s="151"/>
      <c r="R1376" s="151">
        <v>45261</v>
      </c>
      <c r="S1376" s="151"/>
      <c r="T1376" s="151"/>
      <c r="U1376" s="151"/>
      <c r="V1376" s="151"/>
      <c r="W1376" s="2">
        <f>VLOOKUP(Table1[[#This Row],[Status]],Auxiliar!$B$16:$D$24,3,0)*Table1[[#This Row],[Estimação (horas)]]</f>
        <v>0.1</v>
      </c>
      <c r="X1376" s="113"/>
    </row>
    <row r="1377" spans="2:24" ht="17.7"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1187</v>
      </c>
      <c r="L1377" s="45" t="s">
        <v>1193</v>
      </c>
      <c r="M1377" s="20" t="s">
        <v>1194</v>
      </c>
      <c r="N1377" s="47">
        <v>45581</v>
      </c>
      <c r="O1377" s="20">
        <f>INDEX(Auxiliar!$D$5:$F$13,MATCH(Table1[[#This Row],[Tipologia_Testes]],Auxiliar!$B$5:$B$13,0),MATCH(Table1[[#This Row],[Complexidade]],Auxiliar!$D$4:$F$4,0))</f>
        <v>2</v>
      </c>
      <c r="P1377" s="42" t="s">
        <v>1276</v>
      </c>
      <c r="Q1377" s="151"/>
      <c r="R1377" s="151">
        <v>45261</v>
      </c>
      <c r="S1377" s="151"/>
      <c r="T1377" s="151"/>
      <c r="U1377" s="151"/>
      <c r="V1377" s="151"/>
      <c r="W1377" s="2">
        <f>VLOOKUP(Table1[[#This Row],[Status]],Auxiliar!$B$16:$D$24,3,0)*Table1[[#This Row],[Estimação (horas)]]</f>
        <v>2</v>
      </c>
      <c r="X1377" s="113"/>
    </row>
    <row r="1378" spans="2:24" ht="17.7"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1188</v>
      </c>
      <c r="L1378" s="45" t="s">
        <v>1193</v>
      </c>
      <c r="M1378" s="20" t="s">
        <v>1194</v>
      </c>
      <c r="N1378" s="47">
        <v>45581</v>
      </c>
      <c r="O1378" s="20">
        <f>INDEX(Auxiliar!$D$5:$F$13,MATCH(Table1[[#This Row],[Tipologia_Testes]],Auxiliar!$B$5:$B$13,0),MATCH(Table1[[#This Row],[Complexidade]],Auxiliar!$D$4:$F$4,0))</f>
        <v>2</v>
      </c>
      <c r="P1378" s="42" t="s">
        <v>1276</v>
      </c>
      <c r="Q1378" s="151"/>
      <c r="R1378" s="151">
        <v>45261</v>
      </c>
      <c r="S1378" s="151"/>
      <c r="T1378" s="151"/>
      <c r="U1378" s="151"/>
      <c r="V1378" s="151"/>
      <c r="W1378" s="2">
        <f>VLOOKUP(Table1[[#This Row],[Status]],Auxiliar!$B$16:$D$24,3,0)*Table1[[#This Row],[Estimação (horas)]]</f>
        <v>2</v>
      </c>
      <c r="X1378" s="113"/>
    </row>
    <row r="1379" spans="2:24" ht="17.7"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1190</v>
      </c>
      <c r="L1379" s="45" t="s">
        <v>1193</v>
      </c>
      <c r="M1379" s="20" t="s">
        <v>1194</v>
      </c>
      <c r="N1379" s="47">
        <v>45581</v>
      </c>
      <c r="O1379" s="20">
        <f>INDEX(Auxiliar!$D$5:$F$13,MATCH(Table1[[#This Row],[Tipologia_Testes]],Auxiliar!$B$5:$B$13,0),MATCH(Table1[[#This Row],[Complexidade]],Auxiliar!$D$4:$F$4,0))</f>
        <v>0.1</v>
      </c>
      <c r="P1379" s="42" t="s">
        <v>1276</v>
      </c>
      <c r="Q1379" s="151"/>
      <c r="R1379" s="151">
        <v>45261</v>
      </c>
      <c r="S1379" s="151"/>
      <c r="T1379" s="151"/>
      <c r="U1379" s="151"/>
      <c r="V1379" s="151"/>
      <c r="W1379" s="2">
        <f>VLOOKUP(Table1[[#This Row],[Status]],Auxiliar!$B$16:$D$24,3,0)*Table1[[#This Row],[Estimação (horas)]]</f>
        <v>0.1</v>
      </c>
      <c r="X1379" s="113"/>
    </row>
    <row r="1380" spans="2:24" ht="17.7"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1187</v>
      </c>
      <c r="L1380" s="45" t="s">
        <v>1193</v>
      </c>
      <c r="M1380" s="20" t="s">
        <v>1194</v>
      </c>
      <c r="N1380" s="47">
        <v>45581</v>
      </c>
      <c r="O1380" s="20">
        <f>INDEX(Auxiliar!$D$5:$F$13,MATCH(Table1[[#This Row],[Tipologia_Testes]],Auxiliar!$B$5:$B$13,0),MATCH(Table1[[#This Row],[Complexidade]],Auxiliar!$D$4:$F$4,0))</f>
        <v>2</v>
      </c>
      <c r="P1380" s="42" t="s">
        <v>1276</v>
      </c>
      <c r="Q1380" s="151"/>
      <c r="R1380" s="151">
        <v>45261</v>
      </c>
      <c r="S1380" s="151"/>
      <c r="T1380" s="151"/>
      <c r="U1380" s="151"/>
      <c r="V1380" s="151"/>
      <c r="W1380" s="2">
        <f>VLOOKUP(Table1[[#This Row],[Status]],Auxiliar!$B$16:$D$24,3,0)*Table1[[#This Row],[Estimação (horas)]]</f>
        <v>2</v>
      </c>
      <c r="X1380" s="113"/>
    </row>
    <row r="1381" spans="2:24" ht="17.7"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1188</v>
      </c>
      <c r="L1381" s="45" t="s">
        <v>1193</v>
      </c>
      <c r="M1381" s="20" t="s">
        <v>1194</v>
      </c>
      <c r="N1381" s="47">
        <v>45581</v>
      </c>
      <c r="O1381" s="20">
        <f>INDEX(Auxiliar!$D$5:$F$13,MATCH(Table1[[#This Row],[Tipologia_Testes]],Auxiliar!$B$5:$B$13,0),MATCH(Table1[[#This Row],[Complexidade]],Auxiliar!$D$4:$F$4,0))</f>
        <v>2</v>
      </c>
      <c r="P1381" s="42" t="s">
        <v>1276</v>
      </c>
      <c r="Q1381" s="151"/>
      <c r="R1381" s="151">
        <v>45261</v>
      </c>
      <c r="S1381" s="151"/>
      <c r="T1381" s="151"/>
      <c r="U1381" s="151"/>
      <c r="V1381" s="151"/>
      <c r="W1381" s="2">
        <f>VLOOKUP(Table1[[#This Row],[Status]],Auxiliar!$B$16:$D$24,3,0)*Table1[[#This Row],[Estimação (horas)]]</f>
        <v>2</v>
      </c>
      <c r="X1381" s="113"/>
    </row>
    <row r="1382" spans="2:24" ht="17.7"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1190</v>
      </c>
      <c r="L1382" s="45" t="s">
        <v>1193</v>
      </c>
      <c r="M1382" s="20" t="s">
        <v>1194</v>
      </c>
      <c r="N1382" s="47">
        <v>45581</v>
      </c>
      <c r="O1382" s="20">
        <f>INDEX(Auxiliar!$D$5:$F$13,MATCH(Table1[[#This Row],[Tipologia_Testes]],Auxiliar!$B$5:$B$13,0),MATCH(Table1[[#This Row],[Complexidade]],Auxiliar!$D$4:$F$4,0))</f>
        <v>0.1</v>
      </c>
      <c r="P1382" s="42" t="s">
        <v>1276</v>
      </c>
      <c r="Q1382" s="151"/>
      <c r="R1382" s="151">
        <v>45261</v>
      </c>
      <c r="S1382" s="151"/>
      <c r="T1382" s="151"/>
      <c r="U1382" s="151"/>
      <c r="V1382" s="151"/>
      <c r="W1382" s="2">
        <f>VLOOKUP(Table1[[#This Row],[Status]],Auxiliar!$B$16:$D$24,3,0)*Table1[[#This Row],[Estimação (horas)]]</f>
        <v>0.1</v>
      </c>
      <c r="X1382" s="113"/>
    </row>
    <row r="1383" spans="2:24" ht="17.7"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1187</v>
      </c>
      <c r="L1383" s="45" t="s">
        <v>1193</v>
      </c>
      <c r="M1383" s="20" t="s">
        <v>1194</v>
      </c>
      <c r="N1383" s="47">
        <v>45581</v>
      </c>
      <c r="O1383" s="20">
        <f>INDEX(Auxiliar!$D$5:$F$13,MATCH(Table1[[#This Row],[Tipologia_Testes]],Auxiliar!$B$5:$B$13,0),MATCH(Table1[[#This Row],[Complexidade]],Auxiliar!$D$4:$F$4,0))</f>
        <v>2</v>
      </c>
      <c r="P1383" s="42" t="s">
        <v>1276</v>
      </c>
      <c r="Q1383" s="151"/>
      <c r="R1383" s="151">
        <v>45261</v>
      </c>
      <c r="S1383" s="151"/>
      <c r="T1383" s="151"/>
      <c r="U1383" s="151"/>
      <c r="V1383" s="151"/>
      <c r="W1383" s="2">
        <f>VLOOKUP(Table1[[#This Row],[Status]],Auxiliar!$B$16:$D$24,3,0)*Table1[[#This Row],[Estimação (horas)]]</f>
        <v>2</v>
      </c>
      <c r="X1383" s="113"/>
    </row>
    <row r="1384" spans="2:24" ht="17.7"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1188</v>
      </c>
      <c r="L1384" s="45" t="s">
        <v>1193</v>
      </c>
      <c r="M1384" s="20" t="s">
        <v>1194</v>
      </c>
      <c r="N1384" s="47">
        <v>45581</v>
      </c>
      <c r="O1384" s="20">
        <f>INDEX(Auxiliar!$D$5:$F$13,MATCH(Table1[[#This Row],[Tipologia_Testes]],Auxiliar!$B$5:$B$13,0),MATCH(Table1[[#This Row],[Complexidade]],Auxiliar!$D$4:$F$4,0))</f>
        <v>2</v>
      </c>
      <c r="P1384" s="42" t="s">
        <v>1276</v>
      </c>
      <c r="Q1384" s="151"/>
      <c r="R1384" s="151">
        <v>45261</v>
      </c>
      <c r="S1384" s="151"/>
      <c r="T1384" s="151"/>
      <c r="U1384" s="151"/>
      <c r="V1384" s="151"/>
      <c r="W1384" s="2">
        <f>VLOOKUP(Table1[[#This Row],[Status]],Auxiliar!$B$16:$D$24,3,0)*Table1[[#This Row],[Estimação (horas)]]</f>
        <v>2</v>
      </c>
      <c r="X1384" s="113"/>
    </row>
    <row r="1385" spans="2:24" ht="17.7"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1190</v>
      </c>
      <c r="L1385" s="45" t="s">
        <v>1193</v>
      </c>
      <c r="M1385" s="20" t="s">
        <v>1194</v>
      </c>
      <c r="N1385" s="47">
        <v>45581</v>
      </c>
      <c r="O1385" s="20">
        <f>INDEX(Auxiliar!$D$5:$F$13,MATCH(Table1[[#This Row],[Tipologia_Testes]],Auxiliar!$B$5:$B$13,0),MATCH(Table1[[#This Row],[Complexidade]],Auxiliar!$D$4:$F$4,0))</f>
        <v>0.1</v>
      </c>
      <c r="P1385" s="42" t="s">
        <v>1276</v>
      </c>
      <c r="Q1385" s="151"/>
      <c r="R1385" s="151">
        <v>45261</v>
      </c>
      <c r="S1385" s="151"/>
      <c r="T1385" s="151"/>
      <c r="U1385" s="151"/>
      <c r="V1385" s="151"/>
      <c r="W1385" s="2">
        <f>VLOOKUP(Table1[[#This Row],[Status]],Auxiliar!$B$16:$D$24,3,0)*Table1[[#This Row],[Estimação (horas)]]</f>
        <v>0.1</v>
      </c>
      <c r="X1385" s="113"/>
    </row>
    <row r="1386" spans="2:24" ht="17.7"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1187</v>
      </c>
      <c r="L1386" s="45" t="s">
        <v>1193</v>
      </c>
      <c r="M1386" s="20" t="s">
        <v>1194</v>
      </c>
      <c r="N1386" s="47">
        <v>45581</v>
      </c>
      <c r="O1386" s="20">
        <f>INDEX(Auxiliar!$D$5:$F$13,MATCH(Table1[[#This Row],[Tipologia_Testes]],Auxiliar!$B$5:$B$13,0),MATCH(Table1[[#This Row],[Complexidade]],Auxiliar!$D$4:$F$4,0))</f>
        <v>2</v>
      </c>
      <c r="P1386" s="42" t="s">
        <v>1276</v>
      </c>
      <c r="Q1386" s="151"/>
      <c r="R1386" s="151">
        <v>45261</v>
      </c>
      <c r="S1386" s="151"/>
      <c r="T1386" s="151"/>
      <c r="U1386" s="151"/>
      <c r="V1386" s="151"/>
      <c r="W1386" s="2">
        <f>VLOOKUP(Table1[[#This Row],[Status]],Auxiliar!$B$16:$D$24,3,0)*Table1[[#This Row],[Estimação (horas)]]</f>
        <v>2</v>
      </c>
      <c r="X1386" s="113"/>
    </row>
    <row r="1387" spans="2:24" ht="17.7"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1188</v>
      </c>
      <c r="L1387" s="45" t="s">
        <v>1193</v>
      </c>
      <c r="M1387" s="20" t="s">
        <v>1194</v>
      </c>
      <c r="N1387" s="47">
        <v>45581</v>
      </c>
      <c r="O1387" s="20">
        <f>INDEX(Auxiliar!$D$5:$F$13,MATCH(Table1[[#This Row],[Tipologia_Testes]],Auxiliar!$B$5:$B$13,0),MATCH(Table1[[#This Row],[Complexidade]],Auxiliar!$D$4:$F$4,0))</f>
        <v>2</v>
      </c>
      <c r="P1387" s="42" t="s">
        <v>1276</v>
      </c>
      <c r="Q1387" s="151"/>
      <c r="R1387" s="151">
        <v>45261</v>
      </c>
      <c r="S1387" s="151"/>
      <c r="T1387" s="151"/>
      <c r="U1387" s="151"/>
      <c r="V1387" s="151"/>
      <c r="W1387" s="2">
        <f>VLOOKUP(Table1[[#This Row],[Status]],Auxiliar!$B$16:$D$24,3,0)*Table1[[#This Row],[Estimação (horas)]]</f>
        <v>2</v>
      </c>
      <c r="X1387" s="113"/>
    </row>
    <row r="1388" spans="2:24" ht="17.7"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1190</v>
      </c>
      <c r="L1388" s="45" t="s">
        <v>1193</v>
      </c>
      <c r="M1388" s="20" t="s">
        <v>1194</v>
      </c>
      <c r="N1388" s="47">
        <v>45581</v>
      </c>
      <c r="O1388" s="20">
        <f>INDEX(Auxiliar!$D$5:$F$13,MATCH(Table1[[#This Row],[Tipologia_Testes]],Auxiliar!$B$5:$B$13,0),MATCH(Table1[[#This Row],[Complexidade]],Auxiliar!$D$4:$F$4,0))</f>
        <v>0.1</v>
      </c>
      <c r="P1388" s="42" t="s">
        <v>1276</v>
      </c>
      <c r="Q1388" s="151"/>
      <c r="R1388" s="151">
        <v>45261</v>
      </c>
      <c r="S1388" s="151"/>
      <c r="T1388" s="151"/>
      <c r="U1388" s="151"/>
      <c r="V1388" s="151"/>
      <c r="W1388" s="2">
        <f>VLOOKUP(Table1[[#This Row],[Status]],Auxiliar!$B$16:$D$24,3,0)*Table1[[#This Row],[Estimação (horas)]]</f>
        <v>0.1</v>
      </c>
      <c r="X1388" s="113"/>
    </row>
    <row r="1389" spans="2:24" ht="17.7"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1187</v>
      </c>
      <c r="L1389" s="45" t="s">
        <v>1193</v>
      </c>
      <c r="M1389" s="20" t="s">
        <v>1194</v>
      </c>
      <c r="N1389" s="47">
        <v>45581</v>
      </c>
      <c r="O1389" s="20">
        <f>INDEX(Auxiliar!$D$5:$F$13,MATCH(Table1[[#This Row],[Tipologia_Testes]],Auxiliar!$B$5:$B$13,0),MATCH(Table1[[#This Row],[Complexidade]],Auxiliar!$D$4:$F$4,0))</f>
        <v>2</v>
      </c>
      <c r="P1389" s="42" t="s">
        <v>1276</v>
      </c>
      <c r="Q1389" s="151"/>
      <c r="R1389" s="151">
        <v>45261</v>
      </c>
      <c r="S1389" s="151"/>
      <c r="T1389" s="151"/>
      <c r="U1389" s="151"/>
      <c r="V1389" s="151"/>
      <c r="W1389" s="2">
        <f>VLOOKUP(Table1[[#This Row],[Status]],Auxiliar!$B$16:$D$24,3,0)*Table1[[#This Row],[Estimação (horas)]]</f>
        <v>2</v>
      </c>
      <c r="X1389" s="113"/>
    </row>
    <row r="1390" spans="2:24" ht="17.7"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1188</v>
      </c>
      <c r="L1390" s="45" t="s">
        <v>1193</v>
      </c>
      <c r="M1390" s="20" t="s">
        <v>1194</v>
      </c>
      <c r="N1390" s="47">
        <v>45581</v>
      </c>
      <c r="O1390" s="20">
        <f>INDEX(Auxiliar!$D$5:$F$13,MATCH(Table1[[#This Row],[Tipologia_Testes]],Auxiliar!$B$5:$B$13,0),MATCH(Table1[[#This Row],[Complexidade]],Auxiliar!$D$4:$F$4,0))</f>
        <v>2</v>
      </c>
      <c r="P1390" s="42" t="s">
        <v>1276</v>
      </c>
      <c r="Q1390" s="151"/>
      <c r="R1390" s="151">
        <v>45261</v>
      </c>
      <c r="S1390" s="151"/>
      <c r="T1390" s="151"/>
      <c r="U1390" s="151"/>
      <c r="V1390" s="151"/>
      <c r="W1390" s="2">
        <f>VLOOKUP(Table1[[#This Row],[Status]],Auxiliar!$B$16:$D$24,3,0)*Table1[[#This Row],[Estimação (horas)]]</f>
        <v>2</v>
      </c>
      <c r="X1390" s="113"/>
    </row>
    <row r="1391" spans="2:24" ht="17.7"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1190</v>
      </c>
      <c r="L1391" s="45" t="s">
        <v>1193</v>
      </c>
      <c r="M1391" s="20" t="s">
        <v>1194</v>
      </c>
      <c r="N1391" s="47">
        <v>45581</v>
      </c>
      <c r="O1391" s="20">
        <f>INDEX(Auxiliar!$D$5:$F$13,MATCH(Table1[[#This Row],[Tipologia_Testes]],Auxiliar!$B$5:$B$13,0),MATCH(Table1[[#This Row],[Complexidade]],Auxiliar!$D$4:$F$4,0))</f>
        <v>0.1</v>
      </c>
      <c r="P1391" s="42" t="s">
        <v>1276</v>
      </c>
      <c r="Q1391" s="151"/>
      <c r="R1391" s="151">
        <v>45261</v>
      </c>
      <c r="S1391" s="151"/>
      <c r="T1391" s="151"/>
      <c r="U1391" s="151"/>
      <c r="V1391" s="151"/>
      <c r="W1391" s="2">
        <f>VLOOKUP(Table1[[#This Row],[Status]],Auxiliar!$B$16:$D$24,3,0)*Table1[[#This Row],[Estimação (horas)]]</f>
        <v>0.1</v>
      </c>
      <c r="X1391" s="113"/>
    </row>
    <row r="1392" spans="2:24" ht="17.7"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1192</v>
      </c>
      <c r="L1392" s="45" t="s">
        <v>1193</v>
      </c>
      <c r="M1392" s="20" t="s">
        <v>1194</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7"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1192</v>
      </c>
      <c r="L1393" s="45" t="s">
        <v>1193</v>
      </c>
      <c r="M1393" s="20" t="s">
        <v>1194</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7"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1192</v>
      </c>
      <c r="L1394" s="45" t="s">
        <v>1193</v>
      </c>
      <c r="M1394" s="20" t="s">
        <v>1194</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7"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1192</v>
      </c>
      <c r="L1395" s="45" t="s">
        <v>1193</v>
      </c>
      <c r="M1395" s="20" t="s">
        <v>1194</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7"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1192</v>
      </c>
      <c r="L1396" s="45" t="s">
        <v>1193</v>
      </c>
      <c r="M1396" s="20" t="s">
        <v>1194</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7"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1192</v>
      </c>
      <c r="L1397" s="45" t="s">
        <v>1193</v>
      </c>
      <c r="M1397" s="20" t="s">
        <v>1194</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7"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1192</v>
      </c>
      <c r="L1398" s="45" t="s">
        <v>1193</v>
      </c>
      <c r="M1398" s="20" t="s">
        <v>1194</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7"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1192</v>
      </c>
      <c r="L1399" s="45" t="s">
        <v>1193</v>
      </c>
      <c r="M1399" s="20" t="s">
        <v>1194</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7"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1192</v>
      </c>
      <c r="L1400" s="45" t="s">
        <v>1193</v>
      </c>
      <c r="M1400" s="20" t="s">
        <v>1194</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7"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1192</v>
      </c>
      <c r="L1401" s="45" t="s">
        <v>1193</v>
      </c>
      <c r="M1401" s="20" t="s">
        <v>1194</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7"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1192</v>
      </c>
      <c r="L1402" s="45" t="s">
        <v>1193</v>
      </c>
      <c r="M1402" s="20" t="s">
        <v>1194</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7"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1192</v>
      </c>
      <c r="L1403" s="45" t="s">
        <v>1193</v>
      </c>
      <c r="M1403" s="20" t="s">
        <v>1194</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7"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1192</v>
      </c>
      <c r="L1404" s="45" t="s">
        <v>1193</v>
      </c>
      <c r="M1404" s="20" t="s">
        <v>1194</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7"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1192</v>
      </c>
      <c r="L1405" s="45" t="s">
        <v>1193</v>
      </c>
      <c r="M1405" s="20" t="s">
        <v>1194</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7"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1192</v>
      </c>
      <c r="L1406" s="45" t="s">
        <v>1193</v>
      </c>
      <c r="M1406" s="20" t="s">
        <v>1194</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7"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1192</v>
      </c>
      <c r="L1407" s="45" t="s">
        <v>1193</v>
      </c>
      <c r="M1407" s="20" t="s">
        <v>1194</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7"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1192</v>
      </c>
      <c r="L1408" s="45" t="s">
        <v>1193</v>
      </c>
      <c r="M1408" s="20" t="s">
        <v>1194</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7"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1192</v>
      </c>
      <c r="L1409" s="45" t="s">
        <v>1193</v>
      </c>
      <c r="M1409" s="20" t="s">
        <v>1194</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7"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1192</v>
      </c>
      <c r="L1410" s="45" t="s">
        <v>1193</v>
      </c>
      <c r="M1410" s="20" t="s">
        <v>1194</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7" customHeight="1">
      <c r="B1411" s="38" t="s">
        <v>26</v>
      </c>
      <c r="C1411" s="38" t="s">
        <v>26</v>
      </c>
      <c r="D1411" s="19"/>
      <c r="E1411" s="111"/>
      <c r="F1411" s="39" t="s">
        <v>1887</v>
      </c>
      <c r="G1411" s="431" t="s">
        <v>1315</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7" customHeight="1">
      <c r="B1412" s="38" t="s">
        <v>26</v>
      </c>
      <c r="C1412" s="38" t="s">
        <v>26</v>
      </c>
      <c r="D1412" s="19"/>
      <c r="E1412" s="111"/>
      <c r="F1412" s="39" t="s">
        <v>1887</v>
      </c>
      <c r="G1412" s="431" t="s">
        <v>1320</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7" customHeight="1">
      <c r="B1413" s="38" t="s">
        <v>26</v>
      </c>
      <c r="C1413" s="38" t="s">
        <v>26</v>
      </c>
      <c r="D1413" s="19"/>
      <c r="E1413" s="111"/>
      <c r="F1413" s="39" t="s">
        <v>1887</v>
      </c>
      <c r="G1413" s="431" t="s">
        <v>1329</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7" customHeight="1">
      <c r="B1414" s="38" t="s">
        <v>26</v>
      </c>
      <c r="C1414" s="38" t="s">
        <v>26</v>
      </c>
      <c r="D1414" s="19"/>
      <c r="E1414" s="111"/>
      <c r="F1414" s="39" t="s">
        <v>1887</v>
      </c>
      <c r="G1414" s="431" t="s">
        <v>2356</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7" customHeight="1">
      <c r="B1415" s="38" t="s">
        <v>26</v>
      </c>
      <c r="C1415" s="38" t="s">
        <v>26</v>
      </c>
      <c r="D1415" s="19"/>
      <c r="E1415" s="111"/>
      <c r="F1415" s="39" t="s">
        <v>1887</v>
      </c>
      <c r="G1415" s="431" t="s">
        <v>2357</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7" customHeight="1">
      <c r="B1416" s="38" t="s">
        <v>26</v>
      </c>
      <c r="C1416" s="38" t="s">
        <v>26</v>
      </c>
      <c r="D1416" s="19"/>
      <c r="E1416" s="111"/>
      <c r="F1416" s="39" t="s">
        <v>1887</v>
      </c>
      <c r="G1416" s="431" t="s">
        <v>2358</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7" customHeight="1">
      <c r="B1417" s="38" t="s">
        <v>26</v>
      </c>
      <c r="C1417" s="38" t="s">
        <v>26</v>
      </c>
      <c r="D1417" s="19"/>
      <c r="E1417" s="111"/>
      <c r="F1417" s="39" t="s">
        <v>1887</v>
      </c>
      <c r="G1417" s="431" t="s">
        <v>2359</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7" customHeight="1">
      <c r="B1418" s="38" t="s">
        <v>26</v>
      </c>
      <c r="C1418" s="38" t="s">
        <v>26</v>
      </c>
      <c r="D1418" s="12" t="s">
        <v>31</v>
      </c>
      <c r="E1418" s="111" t="s">
        <v>38</v>
      </c>
      <c r="F1418" s="2" t="s">
        <v>1887</v>
      </c>
      <c r="G1418" s="12" t="s">
        <v>418</v>
      </c>
      <c r="H1418" s="58" t="str">
        <f>Table1[[#This Row],[Tabela]]&amp;Table1[[#This Row],[Campo]]</f>
        <v>lt007_instr_activitysstnbl_indctr</v>
      </c>
      <c r="I1418" s="2" t="s">
        <v>614</v>
      </c>
      <c r="J1418" s="44">
        <f>VLOOKUP(Table1[[#This Row],[Status]],Auxiliar!$B$16:$C$24,2,0)</f>
        <v>5</v>
      </c>
      <c r="K1418" s="20" t="s">
        <v>1192</v>
      </c>
      <c r="L1418" s="45" t="s">
        <v>1193</v>
      </c>
      <c r="M1418" s="20" t="s">
        <v>1194</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7" customHeight="1">
      <c r="B1419" s="38" t="s">
        <v>26</v>
      </c>
      <c r="C1419" s="38" t="s">
        <v>26</v>
      </c>
      <c r="D1419" s="12" t="s">
        <v>31</v>
      </c>
      <c r="E1419" s="111" t="s">
        <v>38</v>
      </c>
      <c r="F1419" s="2" t="s">
        <v>1887</v>
      </c>
      <c r="G1419" s="12" t="s">
        <v>419</v>
      </c>
      <c r="H1419" s="58" t="str">
        <f>Table1[[#This Row],[Tabela]]&amp;Table1[[#This Row],[Campo]]</f>
        <v>lt007_instr_activitysstnbl_ctgry</v>
      </c>
      <c r="I1419" s="2" t="s">
        <v>614</v>
      </c>
      <c r="J1419" s="44">
        <f>VLOOKUP(Table1[[#This Row],[Status]],Auxiliar!$B$16:$C$24,2,0)</f>
        <v>5</v>
      </c>
      <c r="K1419" s="20" t="s">
        <v>1192</v>
      </c>
      <c r="L1419" s="45" t="s">
        <v>1193</v>
      </c>
      <c r="M1419" s="20" t="s">
        <v>1194</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7" hidden="1" customHeight="1">
      <c r="B1420" s="38" t="s">
        <v>26</v>
      </c>
      <c r="C1420" s="38" t="s">
        <v>26</v>
      </c>
      <c r="D1420" s="12" t="s">
        <v>31</v>
      </c>
      <c r="E1420" s="111" t="s">
        <v>38</v>
      </c>
      <c r="F1420" s="2" t="s">
        <v>379</v>
      </c>
      <c r="G1420" s="12" t="s">
        <v>420</v>
      </c>
      <c r="H1420" s="58" t="str">
        <f>Table1[[#This Row],[Tabela]]&amp;Table1[[#This Row],[Campo]]</f>
        <v>lt002_instrumentgrss_intrst_incm</v>
      </c>
      <c r="I1420" s="2" t="s">
        <v>615</v>
      </c>
      <c r="J1420" s="44">
        <f>VLOOKUP(Table1[[#This Row],[Status]],Auxiliar!$B$16:$C$24,2,0)</f>
        <v>6</v>
      </c>
      <c r="K1420" s="20" t="s">
        <v>1192</v>
      </c>
      <c r="L1420" s="45" t="s">
        <v>1193</v>
      </c>
      <c r="M1420" s="20" t="s">
        <v>1194</v>
      </c>
      <c r="N1420" s="47">
        <v>45632</v>
      </c>
      <c r="O1420" s="112">
        <v>0.1</v>
      </c>
      <c r="P1420" s="2"/>
      <c r="Q1420" s="151"/>
      <c r="R1420" s="151"/>
      <c r="S1420" s="151"/>
      <c r="T1420" s="151">
        <v>45618</v>
      </c>
      <c r="U1420" s="151">
        <v>45631</v>
      </c>
      <c r="V1420" s="151">
        <v>45631</v>
      </c>
      <c r="W1420" s="2">
        <f>VLOOKUP(Table1[[#This Row],[Status]],Auxiliar!$B$16:$D$24,3,0)*Table1[[#This Row],[Estimação (horas)]]</f>
        <v>2.5000000000000001E-2</v>
      </c>
      <c r="X1420" s="202"/>
    </row>
    <row r="1421" spans="2:24" ht="17.7" hidden="1" customHeight="1">
      <c r="B1421" s="38" t="s">
        <v>26</v>
      </c>
      <c r="C1421" s="38" t="s">
        <v>26</v>
      </c>
      <c r="D1421" s="12" t="s">
        <v>31</v>
      </c>
      <c r="E1421" s="111" t="s">
        <v>38</v>
      </c>
      <c r="F1421" s="2" t="s">
        <v>379</v>
      </c>
      <c r="G1421" s="12" t="s">
        <v>421</v>
      </c>
      <c r="H1421" s="58" t="str">
        <f>Table1[[#This Row],[Tabela]]&amp;Table1[[#This Row],[Campo]]</f>
        <v>lt002_instrumentgrss_cmmssn_incm</v>
      </c>
      <c r="I1421" s="2" t="s">
        <v>615</v>
      </c>
      <c r="J1421" s="44">
        <f>VLOOKUP(Table1[[#This Row],[Status]],Auxiliar!$B$16:$C$24,2,0)</f>
        <v>6</v>
      </c>
      <c r="K1421" s="20" t="s">
        <v>1192</v>
      </c>
      <c r="L1421" s="45" t="s">
        <v>1193</v>
      </c>
      <c r="M1421" s="20" t="s">
        <v>1194</v>
      </c>
      <c r="N1421" s="47">
        <v>45632</v>
      </c>
      <c r="O1421" s="112">
        <v>0.1</v>
      </c>
      <c r="P1421" s="2"/>
      <c r="Q1421" s="151"/>
      <c r="R1421" s="151"/>
      <c r="S1421" s="151"/>
      <c r="T1421" s="151">
        <v>45618</v>
      </c>
      <c r="U1421" s="151">
        <v>45631</v>
      </c>
      <c r="V1421" s="151">
        <v>45631</v>
      </c>
      <c r="W1421" s="2">
        <f>VLOOKUP(Table1[[#This Row],[Status]],Auxiliar!$B$16:$D$24,3,0)*Table1[[#This Row],[Estimação (horas)]]</f>
        <v>2.5000000000000001E-2</v>
      </c>
      <c r="X1421" s="202"/>
    </row>
    <row r="1422" spans="2:24" ht="17.7" hidden="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615</v>
      </c>
      <c r="J1422" s="44">
        <f>VLOOKUP(Table1[[#This Row],[Status]],Auxiliar!$B$16:$C$24,2,0)</f>
        <v>6</v>
      </c>
      <c r="K1422" s="20" t="s">
        <v>1192</v>
      </c>
      <c r="L1422" s="45" t="s">
        <v>1193</v>
      </c>
      <c r="M1422" s="20" t="s">
        <v>1194</v>
      </c>
      <c r="N1422" s="47">
        <v>45632</v>
      </c>
      <c r="O1422" s="112">
        <v>0.1</v>
      </c>
      <c r="P1422" s="2"/>
      <c r="Q1422" s="151"/>
      <c r="R1422" s="151"/>
      <c r="S1422" s="151"/>
      <c r="T1422" s="151">
        <v>45618</v>
      </c>
      <c r="U1422" s="151">
        <v>45631</v>
      </c>
      <c r="V1422" s="151">
        <v>45631</v>
      </c>
      <c r="W1422" s="2">
        <f>VLOOKUP(Table1[[#This Row],[Status]],Auxiliar!$B$16:$D$24,3,0)*Table1[[#This Row],[Estimação (horas)]]</f>
        <v>2.5000000000000001E-2</v>
      </c>
      <c r="X1422" s="202"/>
    </row>
    <row r="1423" spans="2:24" ht="17.7"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1192</v>
      </c>
      <c r="L1423" s="45" t="s">
        <v>1193</v>
      </c>
      <c r="M1423" s="20" t="s">
        <v>1194</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7"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1192</v>
      </c>
      <c r="L1424" s="45" t="s">
        <v>1193</v>
      </c>
      <c r="M1424" s="20" t="s">
        <v>1194</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7"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1192</v>
      </c>
      <c r="L1425" s="45" t="s">
        <v>1193</v>
      </c>
      <c r="M1425" s="20" t="s">
        <v>1194</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7"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1192</v>
      </c>
      <c r="L1426" s="45" t="s">
        <v>1193</v>
      </c>
      <c r="M1426" s="20" t="s">
        <v>1194</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7"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1192</v>
      </c>
      <c r="L1427" s="45" t="s">
        <v>1193</v>
      </c>
      <c r="M1427" s="20" t="s">
        <v>1194</v>
      </c>
      <c r="N1427" s="47">
        <v>45509</v>
      </c>
      <c r="O1427" s="112">
        <v>0.1</v>
      </c>
      <c r="P1427" s="2" t="s">
        <v>1300</v>
      </c>
      <c r="Q1427" s="151"/>
      <c r="R1427" s="151"/>
      <c r="S1427" s="151"/>
      <c r="T1427" s="151"/>
      <c r="U1427" s="151"/>
      <c r="V1427" s="151"/>
      <c r="W1427" s="2">
        <f>VLOOKUP(Table1[[#This Row],[Status]],Auxiliar!$B$16:$D$24,3,0)*Table1[[#This Row],[Estimação (horas)]]</f>
        <v>0.1</v>
      </c>
      <c r="X1427" s="202"/>
    </row>
    <row r="1428" spans="2:24" ht="17.7"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1192</v>
      </c>
      <c r="L1428" s="45" t="s">
        <v>1193</v>
      </c>
      <c r="M1428" s="20" t="s">
        <v>1194</v>
      </c>
      <c r="N1428" s="47">
        <v>45509</v>
      </c>
      <c r="O1428" s="112">
        <v>0.1</v>
      </c>
      <c r="P1428" s="2" t="s">
        <v>1300</v>
      </c>
      <c r="Q1428" s="151"/>
      <c r="R1428" s="151"/>
      <c r="S1428" s="151"/>
      <c r="T1428" s="151"/>
      <c r="U1428" s="151"/>
      <c r="V1428" s="151"/>
      <c r="W1428" s="2">
        <f>VLOOKUP(Table1[[#This Row],[Status]],Auxiliar!$B$16:$D$24,3,0)*Table1[[#This Row],[Estimação (horas)]]</f>
        <v>0.1</v>
      </c>
      <c r="X1428" s="202"/>
    </row>
    <row r="1429" spans="2:24" ht="17.7"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1192</v>
      </c>
      <c r="L1429" s="45" t="s">
        <v>1193</v>
      </c>
      <c r="M1429" s="20" t="s">
        <v>1194</v>
      </c>
      <c r="N1429" s="47">
        <v>45509</v>
      </c>
      <c r="O1429" s="112">
        <v>0.1</v>
      </c>
      <c r="P1429" s="2" t="s">
        <v>1300</v>
      </c>
      <c r="Q1429" s="151"/>
      <c r="R1429" s="151"/>
      <c r="S1429" s="151"/>
      <c r="T1429" s="151"/>
      <c r="U1429" s="151"/>
      <c r="V1429" s="151"/>
      <c r="W1429" s="2">
        <f>VLOOKUP(Table1[[#This Row],[Status]],Auxiliar!$B$16:$D$24,3,0)*Table1[[#This Row],[Estimação (horas)]]</f>
        <v>0.1</v>
      </c>
      <c r="X1429" s="202"/>
    </row>
    <row r="1430" spans="2:24" ht="17.7"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1192</v>
      </c>
      <c r="L1430" s="45" t="s">
        <v>1193</v>
      </c>
      <c r="M1430" s="20" t="s">
        <v>1194</v>
      </c>
      <c r="N1430" s="47">
        <v>45509</v>
      </c>
      <c r="O1430" s="112">
        <v>0.1</v>
      </c>
      <c r="P1430" s="2" t="s">
        <v>1300</v>
      </c>
      <c r="Q1430" s="151"/>
      <c r="R1430" s="151"/>
      <c r="S1430" s="151"/>
      <c r="T1430" s="151"/>
      <c r="U1430" s="151"/>
      <c r="V1430" s="151"/>
      <c r="W1430" s="2">
        <f>VLOOKUP(Table1[[#This Row],[Status]],Auxiliar!$B$16:$D$24,3,0)*Table1[[#This Row],[Estimação (horas)]]</f>
        <v>0.1</v>
      </c>
      <c r="X1430" s="202"/>
    </row>
    <row r="1431" spans="2:24" ht="17.7"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1192</v>
      </c>
      <c r="L1431" s="45" t="s">
        <v>1193</v>
      </c>
      <c r="M1431" s="20" t="s">
        <v>1194</v>
      </c>
      <c r="N1431" s="47">
        <v>45509</v>
      </c>
      <c r="O1431" s="112">
        <v>0.1</v>
      </c>
      <c r="P1431" s="2" t="s">
        <v>1300</v>
      </c>
      <c r="Q1431" s="151"/>
      <c r="R1431" s="151"/>
      <c r="S1431" s="151"/>
      <c r="T1431" s="151"/>
      <c r="U1431" s="151"/>
      <c r="V1431" s="151"/>
      <c r="W1431" s="2">
        <f>VLOOKUP(Table1[[#This Row],[Status]],Auxiliar!$B$16:$D$24,3,0)*Table1[[#This Row],[Estimação (horas)]]</f>
        <v>0.1</v>
      </c>
      <c r="X1431" s="202"/>
    </row>
    <row r="1432" spans="2:24" ht="17.7"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1192</v>
      </c>
      <c r="L1432" s="45" t="s">
        <v>1193</v>
      </c>
      <c r="M1432" s="20" t="s">
        <v>1194</v>
      </c>
      <c r="N1432" s="47">
        <v>45509</v>
      </c>
      <c r="O1432" s="112">
        <v>0.1</v>
      </c>
      <c r="P1432" s="2" t="s">
        <v>1300</v>
      </c>
      <c r="Q1432" s="151"/>
      <c r="R1432" s="151"/>
      <c r="S1432" s="151"/>
      <c r="T1432" s="151"/>
      <c r="U1432" s="151"/>
      <c r="V1432" s="151"/>
      <c r="W1432" s="2">
        <f>VLOOKUP(Table1[[#This Row],[Status]],Auxiliar!$B$16:$D$24,3,0)*Table1[[#This Row],[Estimação (horas)]]</f>
        <v>0.1</v>
      </c>
      <c r="X1432" s="202"/>
    </row>
    <row r="1433" spans="2:24" ht="17.7"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1192</v>
      </c>
      <c r="L1433" s="45" t="s">
        <v>1193</v>
      </c>
      <c r="M1433" s="20" t="s">
        <v>1194</v>
      </c>
      <c r="N1433" s="47">
        <v>45509</v>
      </c>
      <c r="O1433" s="112">
        <v>0.1</v>
      </c>
      <c r="P1433" s="2" t="s">
        <v>1300</v>
      </c>
      <c r="Q1433" s="151"/>
      <c r="R1433" s="151"/>
      <c r="S1433" s="151"/>
      <c r="T1433" s="151"/>
      <c r="U1433" s="151"/>
      <c r="V1433" s="151"/>
      <c r="W1433" s="2">
        <f>VLOOKUP(Table1[[#This Row],[Status]],Auxiliar!$B$16:$D$24,3,0)*Table1[[#This Row],[Estimação (horas)]]</f>
        <v>0.1</v>
      </c>
      <c r="X1433" s="202"/>
    </row>
    <row r="1434" spans="2:24" ht="17.7"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1192</v>
      </c>
      <c r="L1434" s="45" t="s">
        <v>1193</v>
      </c>
      <c r="M1434" s="20" t="s">
        <v>1194</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7" hidden="1" customHeight="1">
      <c r="B1435" s="38" t="s">
        <v>26</v>
      </c>
      <c r="C1435" s="38" t="s">
        <v>26</v>
      </c>
      <c r="D1435" s="19" t="s">
        <v>399</v>
      </c>
      <c r="E1435" s="111" t="s">
        <v>38</v>
      </c>
      <c r="F1435" s="31" t="s">
        <v>335</v>
      </c>
      <c r="G1435" s="431" t="s">
        <v>2256</v>
      </c>
      <c r="H1435" s="58" t="str">
        <f>Table1[[#This Row],[Tabela]]&amp;Table1[[#This Row],[Campo]]</f>
        <v>lt003_entityentty_nm</v>
      </c>
      <c r="I1435" s="2" t="s">
        <v>28</v>
      </c>
      <c r="J1435" s="44">
        <f>VLOOKUP(Table1[[#This Row],[Status]],Auxiliar!$B$16:$C$24,2,0)</f>
        <v>8</v>
      </c>
      <c r="K1435" s="20" t="s">
        <v>1192</v>
      </c>
      <c r="L1435" s="45" t="s">
        <v>1193</v>
      </c>
      <c r="M1435" s="20" t="s">
        <v>1194</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7" hidden="1" customHeight="1">
      <c r="B1436" s="38" t="s">
        <v>26</v>
      </c>
      <c r="C1436" s="38" t="s">
        <v>26</v>
      </c>
      <c r="D1436" s="19" t="s">
        <v>399</v>
      </c>
      <c r="E1436" s="111" t="s">
        <v>38</v>
      </c>
      <c r="F1436" s="31" t="s">
        <v>335</v>
      </c>
      <c r="G1436" s="431" t="s">
        <v>2257</v>
      </c>
      <c r="H1436" s="58" t="str">
        <f>Table1[[#This Row],[Tabela]]&amp;Table1[[#This Row],[Campo]]</f>
        <v>lt003_entityec_grp_id</v>
      </c>
      <c r="I1436" s="2" t="s">
        <v>28</v>
      </c>
      <c r="J1436" s="44">
        <f>VLOOKUP(Table1[[#This Row],[Status]],Auxiliar!$B$16:$C$24,2,0)</f>
        <v>8</v>
      </c>
      <c r="K1436" s="20" t="s">
        <v>1192</v>
      </c>
      <c r="L1436" s="45" t="s">
        <v>1193</v>
      </c>
      <c r="M1436" s="20" t="s">
        <v>1194</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7" hidden="1" customHeight="1">
      <c r="B1437" s="38" t="s">
        <v>26</v>
      </c>
      <c r="C1437" s="38" t="s">
        <v>26</v>
      </c>
      <c r="D1437" s="19" t="s">
        <v>399</v>
      </c>
      <c r="E1437" s="111" t="s">
        <v>38</v>
      </c>
      <c r="F1437" s="31" t="s">
        <v>335</v>
      </c>
      <c r="G1437" s="431" t="s">
        <v>2258</v>
      </c>
      <c r="H1437" s="58" t="str">
        <f>Table1[[#This Row],[Tabela]]&amp;Table1[[#This Row],[Campo]]</f>
        <v>lt003_entityec_grp_nm</v>
      </c>
      <c r="I1437" s="2" t="s">
        <v>28</v>
      </c>
      <c r="J1437" s="44">
        <f>VLOOKUP(Table1[[#This Row],[Status]],Auxiliar!$B$16:$C$24,2,0)</f>
        <v>8</v>
      </c>
      <c r="K1437" s="20" t="s">
        <v>1192</v>
      </c>
      <c r="L1437" s="45" t="s">
        <v>1193</v>
      </c>
      <c r="M1437" s="20" t="s">
        <v>1194</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7" hidden="1" customHeight="1">
      <c r="B1438" s="38" t="s">
        <v>26</v>
      </c>
      <c r="C1438" s="38" t="s">
        <v>26</v>
      </c>
      <c r="D1438" s="19" t="s">
        <v>399</v>
      </c>
      <c r="E1438" s="111" t="s">
        <v>38</v>
      </c>
      <c r="F1438" s="31" t="s">
        <v>335</v>
      </c>
      <c r="G1438" s="431" t="s">
        <v>2259</v>
      </c>
      <c r="H1438" s="58" t="str">
        <f>Table1[[#This Row],[Tabela]]&amp;Table1[[#This Row],[Campo]]</f>
        <v>lt003_entitygrp_ecnmc_actvty</v>
      </c>
      <c r="I1438" s="2" t="s">
        <v>28</v>
      </c>
      <c r="J1438" s="44">
        <f>VLOOKUP(Table1[[#This Row],[Status]],Auxiliar!$B$16:$C$24,2,0)</f>
        <v>8</v>
      </c>
      <c r="K1438" s="20" t="s">
        <v>1192</v>
      </c>
      <c r="L1438" s="45" t="s">
        <v>1193</v>
      </c>
      <c r="M1438" s="20" t="s">
        <v>1194</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7" hidden="1" customHeight="1">
      <c r="B1439" s="38" t="s">
        <v>26</v>
      </c>
      <c r="C1439" s="38" t="s">
        <v>26</v>
      </c>
      <c r="D1439" s="19" t="s">
        <v>399</v>
      </c>
      <c r="E1439" s="111" t="s">
        <v>38</v>
      </c>
      <c r="F1439" s="31" t="s">
        <v>335</v>
      </c>
      <c r="G1439" s="431" t="s">
        <v>2260</v>
      </c>
      <c r="H1439" s="58" t="str">
        <f>Table1[[#This Row],[Tabela]]&amp;Table1[[#This Row],[Campo]]</f>
        <v>lt003_entitytxnmy_elgbl_capex_w</v>
      </c>
      <c r="I1439" s="2" t="s">
        <v>612</v>
      </c>
      <c r="J1439" s="44">
        <f>VLOOKUP(Table1[[#This Row],[Status]],Auxiliar!$B$16:$C$24,2,0)</f>
        <v>1</v>
      </c>
      <c r="K1439" s="20" t="s">
        <v>1192</v>
      </c>
      <c r="L1439" s="45" t="s">
        <v>1193</v>
      </c>
      <c r="M1439" s="20" t="s">
        <v>1194</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7" hidden="1" customHeight="1">
      <c r="B1440" s="38" t="s">
        <v>26</v>
      </c>
      <c r="C1440" s="38" t="s">
        <v>26</v>
      </c>
      <c r="D1440" s="19" t="s">
        <v>399</v>
      </c>
      <c r="E1440" s="111" t="s">
        <v>38</v>
      </c>
      <c r="F1440" s="31" t="s">
        <v>335</v>
      </c>
      <c r="G1440" s="431" t="s">
        <v>2261</v>
      </c>
      <c r="H1440" s="58" t="str">
        <f>Table1[[#This Row],[Tabela]]&amp;Table1[[#This Row],[Campo]]</f>
        <v>lt003_entitytxnmy_elgbl_trnvr_w</v>
      </c>
      <c r="I1440" s="2" t="s">
        <v>612</v>
      </c>
      <c r="J1440" s="44">
        <f>VLOOKUP(Table1[[#This Row],[Status]],Auxiliar!$B$16:$C$24,2,0)</f>
        <v>1</v>
      </c>
      <c r="K1440" s="20" t="s">
        <v>1192</v>
      </c>
      <c r="L1440" s="45" t="s">
        <v>1193</v>
      </c>
      <c r="M1440" s="20" t="s">
        <v>1194</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7" hidden="1" customHeight="1">
      <c r="B1441" s="38" t="s">
        <v>26</v>
      </c>
      <c r="C1441" s="38" t="s">
        <v>26</v>
      </c>
      <c r="D1441" s="19" t="s">
        <v>399</v>
      </c>
      <c r="E1441" s="111" t="s">
        <v>38</v>
      </c>
      <c r="F1441" s="31" t="s">
        <v>335</v>
      </c>
      <c r="G1441" s="431" t="s">
        <v>2262</v>
      </c>
      <c r="H1441" s="58" t="str">
        <f>Table1[[#This Row],[Tabela]]&amp;Table1[[#This Row],[Campo]]</f>
        <v>lt003_entitytxnmy_elgbl_capex_p</v>
      </c>
      <c r="I1441" s="2" t="s">
        <v>612</v>
      </c>
      <c r="J1441" s="44">
        <f>VLOOKUP(Table1[[#This Row],[Status]],Auxiliar!$B$16:$C$24,2,0)</f>
        <v>1</v>
      </c>
      <c r="K1441" s="20" t="s">
        <v>1192</v>
      </c>
      <c r="L1441" s="45" t="s">
        <v>1193</v>
      </c>
      <c r="M1441" s="20" t="s">
        <v>1194</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7" hidden="1" customHeight="1">
      <c r="B1442" s="38" t="s">
        <v>26</v>
      </c>
      <c r="C1442" s="38" t="s">
        <v>26</v>
      </c>
      <c r="D1442" s="19" t="s">
        <v>399</v>
      </c>
      <c r="E1442" s="111" t="s">
        <v>38</v>
      </c>
      <c r="F1442" s="31" t="s">
        <v>335</v>
      </c>
      <c r="G1442" s="431" t="s">
        <v>2263</v>
      </c>
      <c r="H1442" s="58" t="str">
        <f>Table1[[#This Row],[Tabela]]&amp;Table1[[#This Row],[Campo]]</f>
        <v>lt003_entitytxnmy_elgbl_trnvr_p</v>
      </c>
      <c r="I1442" s="2" t="s">
        <v>612</v>
      </c>
      <c r="J1442" s="44">
        <f>VLOOKUP(Table1[[#This Row],[Status]],Auxiliar!$B$16:$C$24,2,0)</f>
        <v>1</v>
      </c>
      <c r="K1442" s="20" t="s">
        <v>1192</v>
      </c>
      <c r="L1442" s="45" t="s">
        <v>1193</v>
      </c>
      <c r="M1442" s="20" t="s">
        <v>1194</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7" hidden="1" customHeight="1">
      <c r="B1443" s="38" t="s">
        <v>26</v>
      </c>
      <c r="C1443" s="38" t="s">
        <v>26</v>
      </c>
      <c r="D1443" s="19" t="s">
        <v>399</v>
      </c>
      <c r="E1443" s="111" t="s">
        <v>38</v>
      </c>
      <c r="F1443" s="31" t="s">
        <v>335</v>
      </c>
      <c r="G1443" s="431" t="s">
        <v>2264</v>
      </c>
      <c r="H1443" s="58" t="str">
        <f>Table1[[#This Row],[Tabela]]&amp;Table1[[#This Row],[Campo]]</f>
        <v>lt003_entitytxnmy_elgbl_capex_b</v>
      </c>
      <c r="I1443" s="2" t="s">
        <v>612</v>
      </c>
      <c r="J1443" s="44">
        <f>VLOOKUP(Table1[[#This Row],[Status]],Auxiliar!$B$16:$C$24,2,0)</f>
        <v>1</v>
      </c>
      <c r="K1443" s="20" t="s">
        <v>1192</v>
      </c>
      <c r="L1443" s="45" t="s">
        <v>1193</v>
      </c>
      <c r="M1443" s="20" t="s">
        <v>1194</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7" hidden="1" customHeight="1">
      <c r="B1444" s="38" t="s">
        <v>26</v>
      </c>
      <c r="C1444" s="38" t="s">
        <v>26</v>
      </c>
      <c r="D1444" s="19" t="s">
        <v>399</v>
      </c>
      <c r="E1444" s="111" t="s">
        <v>38</v>
      </c>
      <c r="F1444" s="31" t="s">
        <v>335</v>
      </c>
      <c r="G1444" s="431" t="s">
        <v>2265</v>
      </c>
      <c r="H1444" s="58" t="str">
        <f>Table1[[#This Row],[Tabela]]&amp;Table1[[#This Row],[Campo]]</f>
        <v>lt003_entitytxnmy_elgbl_trnvr_b</v>
      </c>
      <c r="I1444" s="2" t="s">
        <v>612</v>
      </c>
      <c r="J1444" s="44">
        <f>VLOOKUP(Table1[[#This Row],[Status]],Auxiliar!$B$16:$C$24,2,0)</f>
        <v>1</v>
      </c>
      <c r="K1444" s="20" t="s">
        <v>1192</v>
      </c>
      <c r="L1444" s="45" t="s">
        <v>1193</v>
      </c>
      <c r="M1444" s="20" t="s">
        <v>1194</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7" hidden="1" customHeight="1">
      <c r="B1445" s="38" t="s">
        <v>26</v>
      </c>
      <c r="C1445" s="38" t="s">
        <v>26</v>
      </c>
      <c r="D1445" s="19" t="s">
        <v>399</v>
      </c>
      <c r="E1445" s="111" t="s">
        <v>38</v>
      </c>
      <c r="F1445" s="31" t="s">
        <v>335</v>
      </c>
      <c r="G1445" s="431" t="s">
        <v>2266</v>
      </c>
      <c r="H1445" s="58" t="str">
        <f>Table1[[#This Row],[Tabela]]&amp;Table1[[#This Row],[Campo]]</f>
        <v>lt003_entitytxnmy_elgbl_capex_ce</v>
      </c>
      <c r="I1445" s="2" t="s">
        <v>612</v>
      </c>
      <c r="J1445" s="44">
        <f>VLOOKUP(Table1[[#This Row],[Status]],Auxiliar!$B$16:$C$24,2,0)</f>
        <v>1</v>
      </c>
      <c r="K1445" s="20" t="s">
        <v>1192</v>
      </c>
      <c r="L1445" s="45" t="s">
        <v>1193</v>
      </c>
      <c r="M1445" s="20" t="s">
        <v>1194</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7" hidden="1" customHeight="1">
      <c r="B1446" s="38" t="s">
        <v>26</v>
      </c>
      <c r="C1446" s="38" t="s">
        <v>26</v>
      </c>
      <c r="D1446" s="19" t="s">
        <v>399</v>
      </c>
      <c r="E1446" s="111" t="s">
        <v>38</v>
      </c>
      <c r="F1446" s="31" t="s">
        <v>335</v>
      </c>
      <c r="G1446" s="431" t="s">
        <v>2267</v>
      </c>
      <c r="H1446" s="58" t="str">
        <f>Table1[[#This Row],[Tabela]]&amp;Table1[[#This Row],[Campo]]</f>
        <v>lt003_entitytxnmy_elgbl_trnvr_ce</v>
      </c>
      <c r="I1446" s="2" t="s">
        <v>612</v>
      </c>
      <c r="J1446" s="44">
        <f>VLOOKUP(Table1[[#This Row],[Status]],Auxiliar!$B$16:$C$24,2,0)</f>
        <v>1</v>
      </c>
      <c r="K1446" s="20" t="s">
        <v>1192</v>
      </c>
      <c r="L1446" s="45" t="s">
        <v>1193</v>
      </c>
      <c r="M1446" s="20" t="s">
        <v>1194</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7" hidden="1" customHeight="1">
      <c r="B1447" s="38" t="s">
        <v>26</v>
      </c>
      <c r="C1447" s="38" t="s">
        <v>26</v>
      </c>
      <c r="D1447" s="19" t="s">
        <v>399</v>
      </c>
      <c r="E1447" s="111" t="s">
        <v>38</v>
      </c>
      <c r="F1447" s="31" t="s">
        <v>335</v>
      </c>
      <c r="G1447" s="431" t="s">
        <v>2268</v>
      </c>
      <c r="H1447" s="58" t="str">
        <f>Table1[[#This Row],[Tabela]]&amp;Table1[[#This Row],[Campo]]</f>
        <v>lt003_entitypure_capex_p</v>
      </c>
      <c r="I1447" s="2" t="s">
        <v>612</v>
      </c>
      <c r="J1447" s="44">
        <f>VLOOKUP(Table1[[#This Row],[Status]],Auxiliar!$B$16:$C$24,2,0)</f>
        <v>1</v>
      </c>
      <c r="K1447" s="20" t="s">
        <v>1192</v>
      </c>
      <c r="L1447" s="45" t="s">
        <v>1193</v>
      </c>
      <c r="M1447" s="20" t="s">
        <v>1194</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7" hidden="1" customHeight="1">
      <c r="B1448" s="38" t="s">
        <v>26</v>
      </c>
      <c r="C1448" s="38" t="s">
        <v>26</v>
      </c>
      <c r="D1448" s="19" t="s">
        <v>399</v>
      </c>
      <c r="E1448" s="111" t="s">
        <v>38</v>
      </c>
      <c r="F1448" s="31" t="s">
        <v>335</v>
      </c>
      <c r="G1448" s="431" t="s">
        <v>2269</v>
      </c>
      <c r="H1448" s="58" t="str">
        <f>Table1[[#This Row],[Tabela]]&amp;Table1[[#This Row],[Campo]]</f>
        <v>lt003_entitypure_trnvr_p</v>
      </c>
      <c r="I1448" s="2" t="s">
        <v>612</v>
      </c>
      <c r="J1448" s="44">
        <f>VLOOKUP(Table1[[#This Row],[Status]],Auxiliar!$B$16:$C$24,2,0)</f>
        <v>1</v>
      </c>
      <c r="K1448" s="20" t="s">
        <v>1192</v>
      </c>
      <c r="L1448" s="45" t="s">
        <v>1193</v>
      </c>
      <c r="M1448" s="20" t="s">
        <v>1194</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7" hidden="1" customHeight="1">
      <c r="B1449" s="38" t="s">
        <v>26</v>
      </c>
      <c r="C1449" s="38" t="s">
        <v>26</v>
      </c>
      <c r="D1449" s="19" t="s">
        <v>399</v>
      </c>
      <c r="E1449" s="111" t="s">
        <v>38</v>
      </c>
      <c r="F1449" s="31" t="s">
        <v>335</v>
      </c>
      <c r="G1449" s="431" t="s">
        <v>2270</v>
      </c>
      <c r="H1449" s="58" t="str">
        <f>Table1[[#This Row],[Tabela]]&amp;Table1[[#This Row],[Campo]]</f>
        <v>lt003_entitypure_capex_b</v>
      </c>
      <c r="I1449" s="2" t="s">
        <v>612</v>
      </c>
      <c r="J1449" s="44">
        <f>VLOOKUP(Table1[[#This Row],[Status]],Auxiliar!$B$16:$C$24,2,0)</f>
        <v>1</v>
      </c>
      <c r="K1449" s="20" t="s">
        <v>1192</v>
      </c>
      <c r="L1449" s="45" t="s">
        <v>1193</v>
      </c>
      <c r="M1449" s="20" t="s">
        <v>1194</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7" hidden="1" customHeight="1">
      <c r="B1450" s="38" t="s">
        <v>26</v>
      </c>
      <c r="C1450" s="38" t="s">
        <v>26</v>
      </c>
      <c r="D1450" s="19" t="s">
        <v>399</v>
      </c>
      <c r="E1450" s="111" t="s">
        <v>38</v>
      </c>
      <c r="F1450" s="31" t="s">
        <v>335</v>
      </c>
      <c r="G1450" s="431" t="s">
        <v>2271</v>
      </c>
      <c r="H1450" s="58" t="str">
        <f>Table1[[#This Row],[Tabela]]&amp;Table1[[#This Row],[Campo]]</f>
        <v>lt003_entitypure_trnvr_b</v>
      </c>
      <c r="I1450" s="2" t="s">
        <v>612</v>
      </c>
      <c r="J1450" s="44">
        <f>VLOOKUP(Table1[[#This Row],[Status]],Auxiliar!$B$16:$C$24,2,0)</f>
        <v>1</v>
      </c>
      <c r="K1450" s="20" t="s">
        <v>1192</v>
      </c>
      <c r="L1450" s="45" t="s">
        <v>1193</v>
      </c>
      <c r="M1450" s="20" t="s">
        <v>1194</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7" hidden="1" customHeight="1">
      <c r="B1451" s="38" t="s">
        <v>26</v>
      </c>
      <c r="C1451" s="38" t="s">
        <v>26</v>
      </c>
      <c r="D1451" s="19" t="s">
        <v>399</v>
      </c>
      <c r="E1451" s="111" t="s">
        <v>38</v>
      </c>
      <c r="F1451" s="31" t="s">
        <v>335</v>
      </c>
      <c r="G1451" s="431" t="s">
        <v>2272</v>
      </c>
      <c r="H1451" s="58" t="str">
        <f>Table1[[#This Row],[Tabela]]&amp;Table1[[#This Row],[Campo]]</f>
        <v>lt003_entitypure_capex_w</v>
      </c>
      <c r="I1451" s="2" t="s">
        <v>612</v>
      </c>
      <c r="J1451" s="44">
        <f>VLOOKUP(Table1[[#This Row],[Status]],Auxiliar!$B$16:$C$24,2,0)</f>
        <v>1</v>
      </c>
      <c r="K1451" s="20" t="s">
        <v>1192</v>
      </c>
      <c r="L1451" s="45" t="s">
        <v>1193</v>
      </c>
      <c r="M1451" s="20" t="s">
        <v>1194</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7" hidden="1" customHeight="1">
      <c r="B1452" s="38" t="s">
        <v>26</v>
      </c>
      <c r="C1452" s="38" t="s">
        <v>26</v>
      </c>
      <c r="D1452" s="19" t="s">
        <v>399</v>
      </c>
      <c r="E1452" s="111" t="s">
        <v>38</v>
      </c>
      <c r="F1452" s="31" t="s">
        <v>335</v>
      </c>
      <c r="G1452" s="431" t="s">
        <v>2273</v>
      </c>
      <c r="H1452" s="58" t="str">
        <f>Table1[[#This Row],[Tabela]]&amp;Table1[[#This Row],[Campo]]</f>
        <v>lt003_entitypure_trnvr_w</v>
      </c>
      <c r="I1452" s="2" t="s">
        <v>612</v>
      </c>
      <c r="J1452" s="44">
        <f>VLOOKUP(Table1[[#This Row],[Status]],Auxiliar!$B$16:$C$24,2,0)</f>
        <v>1</v>
      </c>
      <c r="K1452" s="20" t="s">
        <v>1192</v>
      </c>
      <c r="L1452" s="45" t="s">
        <v>1193</v>
      </c>
      <c r="M1452" s="20" t="s">
        <v>1194</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7" hidden="1" customHeight="1">
      <c r="B1453" s="38" t="s">
        <v>26</v>
      </c>
      <c r="C1453" s="38" t="s">
        <v>26</v>
      </c>
      <c r="D1453" s="19" t="s">
        <v>399</v>
      </c>
      <c r="E1453" s="111" t="s">
        <v>38</v>
      </c>
      <c r="F1453" s="31" t="s">
        <v>335</v>
      </c>
      <c r="G1453" s="431" t="s">
        <v>2274</v>
      </c>
      <c r="H1453" s="58" t="str">
        <f>Table1[[#This Row],[Tabela]]&amp;Table1[[#This Row],[Campo]]</f>
        <v>lt003_entitypure_capex_ce</v>
      </c>
      <c r="I1453" s="2" t="s">
        <v>612</v>
      </c>
      <c r="J1453" s="44">
        <f>VLOOKUP(Table1[[#This Row],[Status]],Auxiliar!$B$16:$C$24,2,0)</f>
        <v>1</v>
      </c>
      <c r="K1453" s="20" t="s">
        <v>1192</v>
      </c>
      <c r="L1453" s="45" t="s">
        <v>1193</v>
      </c>
      <c r="M1453" s="20" t="s">
        <v>1194</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7" hidden="1" customHeight="1">
      <c r="B1454" s="38" t="s">
        <v>26</v>
      </c>
      <c r="C1454" s="38" t="s">
        <v>26</v>
      </c>
      <c r="D1454" s="19" t="s">
        <v>399</v>
      </c>
      <c r="E1454" s="111" t="s">
        <v>38</v>
      </c>
      <c r="F1454" s="31" t="s">
        <v>335</v>
      </c>
      <c r="G1454" s="431" t="s">
        <v>2275</v>
      </c>
      <c r="H1454" s="58" t="str">
        <f>Table1[[#This Row],[Tabela]]&amp;Table1[[#This Row],[Campo]]</f>
        <v>lt003_entitypure_trnvr_ce</v>
      </c>
      <c r="I1454" s="2" t="s">
        <v>612</v>
      </c>
      <c r="J1454" s="44">
        <f>VLOOKUP(Table1[[#This Row],[Status]],Auxiliar!$B$16:$C$24,2,0)</f>
        <v>1</v>
      </c>
      <c r="K1454" s="20" t="s">
        <v>1192</v>
      </c>
      <c r="L1454" s="45" t="s">
        <v>1193</v>
      </c>
      <c r="M1454" s="20" t="s">
        <v>1194</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7" hidden="1" customHeight="1">
      <c r="B1455" s="38" t="s">
        <v>26</v>
      </c>
      <c r="C1455" s="38" t="s">
        <v>26</v>
      </c>
      <c r="D1455" s="19" t="s">
        <v>399</v>
      </c>
      <c r="E1455" s="111" t="s">
        <v>38</v>
      </c>
      <c r="F1455" s="31" t="s">
        <v>335</v>
      </c>
      <c r="G1455" s="431" t="s">
        <v>2276</v>
      </c>
      <c r="H1455" s="58" t="str">
        <f>Table1[[#This Row],[Tabela]]&amp;Table1[[#This Row],[Campo]]</f>
        <v>lt003_entityenblng_capex_w</v>
      </c>
      <c r="I1455" s="2" t="s">
        <v>612</v>
      </c>
      <c r="J1455" s="44">
        <f>VLOOKUP(Table1[[#This Row],[Status]],Auxiliar!$B$16:$C$24,2,0)</f>
        <v>1</v>
      </c>
      <c r="K1455" s="20" t="s">
        <v>1192</v>
      </c>
      <c r="L1455" s="45" t="s">
        <v>1193</v>
      </c>
      <c r="M1455" s="20" t="s">
        <v>1194</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7" hidden="1" customHeight="1">
      <c r="B1456" s="38" t="s">
        <v>26</v>
      </c>
      <c r="C1456" s="38" t="s">
        <v>26</v>
      </c>
      <c r="D1456" s="19" t="s">
        <v>399</v>
      </c>
      <c r="E1456" s="111" t="s">
        <v>38</v>
      </c>
      <c r="F1456" s="31" t="s">
        <v>335</v>
      </c>
      <c r="G1456" s="431" t="s">
        <v>2277</v>
      </c>
      <c r="H1456" s="58" t="str">
        <f>Table1[[#This Row],[Tabela]]&amp;Table1[[#This Row],[Campo]]</f>
        <v>lt003_entityenblng_trnvr_w</v>
      </c>
      <c r="I1456" s="2" t="s">
        <v>612</v>
      </c>
      <c r="J1456" s="44">
        <f>VLOOKUP(Table1[[#This Row],[Status]],Auxiliar!$B$16:$C$24,2,0)</f>
        <v>1</v>
      </c>
      <c r="K1456" s="20" t="s">
        <v>1192</v>
      </c>
      <c r="L1456" s="45" t="s">
        <v>1193</v>
      </c>
      <c r="M1456" s="20" t="s">
        <v>1194</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7" hidden="1" customHeight="1">
      <c r="B1457" s="38" t="s">
        <v>26</v>
      </c>
      <c r="C1457" s="38" t="s">
        <v>26</v>
      </c>
      <c r="D1457" s="19" t="s">
        <v>399</v>
      </c>
      <c r="E1457" s="111" t="s">
        <v>38</v>
      </c>
      <c r="F1457" s="31" t="s">
        <v>335</v>
      </c>
      <c r="G1457" s="431" t="s">
        <v>2278</v>
      </c>
      <c r="H1457" s="58" t="str">
        <f>Table1[[#This Row],[Tabela]]&amp;Table1[[#This Row],[Campo]]</f>
        <v>lt003_entityenblng_capex_ce</v>
      </c>
      <c r="I1457" s="2" t="s">
        <v>612</v>
      </c>
      <c r="J1457" s="44">
        <f>VLOOKUP(Table1[[#This Row],[Status]],Auxiliar!$B$16:$C$24,2,0)</f>
        <v>1</v>
      </c>
      <c r="K1457" s="20" t="s">
        <v>1192</v>
      </c>
      <c r="L1457" s="45" t="s">
        <v>1193</v>
      </c>
      <c r="M1457" s="20" t="s">
        <v>1194</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7" hidden="1" customHeight="1">
      <c r="B1458" s="38" t="s">
        <v>26</v>
      </c>
      <c r="C1458" s="38" t="s">
        <v>26</v>
      </c>
      <c r="D1458" s="19" t="s">
        <v>399</v>
      </c>
      <c r="E1458" s="111" t="s">
        <v>38</v>
      </c>
      <c r="F1458" s="31" t="s">
        <v>335</v>
      </c>
      <c r="G1458" s="431" t="s">
        <v>2279</v>
      </c>
      <c r="H1458" s="58" t="str">
        <f>Table1[[#This Row],[Tabela]]&amp;Table1[[#This Row],[Campo]]</f>
        <v>lt003_entityenblng_trnvr_ce</v>
      </c>
      <c r="I1458" s="2" t="s">
        <v>612</v>
      </c>
      <c r="J1458" s="44">
        <f>VLOOKUP(Table1[[#This Row],[Status]],Auxiliar!$B$16:$C$24,2,0)</f>
        <v>1</v>
      </c>
      <c r="K1458" s="20" t="s">
        <v>1192</v>
      </c>
      <c r="L1458" s="45" t="s">
        <v>1193</v>
      </c>
      <c r="M1458" s="20" t="s">
        <v>1194</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7" hidden="1" customHeight="1">
      <c r="B1459" s="38" t="s">
        <v>26</v>
      </c>
      <c r="C1459" s="38" t="s">
        <v>26</v>
      </c>
      <c r="D1459" s="383" t="s">
        <v>1292</v>
      </c>
      <c r="E1459" s="111" t="s">
        <v>1294</v>
      </c>
      <c r="F1459" s="39" t="s">
        <v>368</v>
      </c>
      <c r="G1459" s="387" t="s">
        <v>374</v>
      </c>
      <c r="H1459" s="388" t="str">
        <f>Table1[[#This Row],[Tabela]]&amp;Table1[[#This Row],[Campo]]</f>
        <v>lt004_protectionemssns_scp2_prtctn</v>
      </c>
      <c r="I1459" s="2" t="s">
        <v>612</v>
      </c>
      <c r="J1459" s="44">
        <f>VLOOKUP(Table1[[#This Row],[Status]],Auxiliar!$B$16:$C$24,2,0)</f>
        <v>1</v>
      </c>
      <c r="K1459" s="45" t="s">
        <v>1187</v>
      </c>
      <c r="L1459" s="45" t="s">
        <v>1193</v>
      </c>
      <c r="M1459" s="20" t="s">
        <v>1194</v>
      </c>
      <c r="N1459" s="47">
        <v>45667</v>
      </c>
      <c r="O1459" s="20">
        <f>INDEX(Auxiliar!$D$5:$F$13,MATCH(Table1[[#This Row],[Tipologia_Testes]],Auxiliar!$B$5:$B$13,0),MATCH(Table1[[#This Row],[Complexidade]],Auxiliar!$D$4:$F$4,0))</f>
        <v>2</v>
      </c>
      <c r="P1459" s="42" t="s">
        <v>1279</v>
      </c>
      <c r="Q1459" s="151"/>
      <c r="R1459" s="151">
        <v>45622</v>
      </c>
      <c r="S1459" s="151"/>
      <c r="T1459" s="151"/>
      <c r="U1459" s="151">
        <v>45631</v>
      </c>
      <c r="V1459" s="151">
        <v>45631</v>
      </c>
      <c r="W1459" s="2">
        <f>VLOOKUP(Table1[[#This Row],[Status]],Auxiliar!$B$16:$D$24,3,0)*Table1[[#This Row],[Estimação (horas)]]</f>
        <v>2</v>
      </c>
      <c r="X1459" s="113"/>
    </row>
    <row r="1460" spans="2:24" ht="17.7" hidden="1" customHeight="1">
      <c r="B1460" s="38" t="s">
        <v>26</v>
      </c>
      <c r="C1460" s="38" t="s">
        <v>26</v>
      </c>
      <c r="D1460" s="40" t="s">
        <v>1292</v>
      </c>
      <c r="E1460" s="46" t="s">
        <v>1294</v>
      </c>
      <c r="F1460" s="42" t="s">
        <v>368</v>
      </c>
      <c r="G1460" s="40" t="s">
        <v>374</v>
      </c>
      <c r="H1460" s="58" t="str">
        <f>Table1[[#This Row],[Tabela]]&amp;Table1[[#This Row],[Campo]]</f>
        <v>lt004_protectionemssns_scp2_prtctn</v>
      </c>
      <c r="I1460" s="2" t="s">
        <v>612</v>
      </c>
      <c r="J1460" s="44">
        <f>VLOOKUP(Table1[[#This Row],[Status]],Auxiliar!$B$16:$C$24,2,0)</f>
        <v>1</v>
      </c>
      <c r="K1460" s="45" t="s">
        <v>1188</v>
      </c>
      <c r="L1460" s="45" t="s">
        <v>1193</v>
      </c>
      <c r="M1460" s="20" t="s">
        <v>1194</v>
      </c>
      <c r="N1460" s="47">
        <v>45667</v>
      </c>
      <c r="O1460" s="20">
        <f>INDEX(Auxiliar!$D$5:$F$13,MATCH(Table1[[#This Row],[Tipologia_Testes]],Auxiliar!$B$5:$B$13,0),MATCH(Table1[[#This Row],[Complexidade]],Auxiliar!$D$4:$F$4,0))</f>
        <v>2</v>
      </c>
      <c r="P1460" s="42" t="s">
        <v>1279</v>
      </c>
      <c r="Q1460" s="151"/>
      <c r="R1460" s="151">
        <v>45622</v>
      </c>
      <c r="S1460" s="151"/>
      <c r="T1460" s="151"/>
      <c r="U1460" s="151">
        <v>45631</v>
      </c>
      <c r="V1460" s="151">
        <v>45631</v>
      </c>
      <c r="W1460" s="2">
        <f>VLOOKUP(Table1[[#This Row],[Status]],Auxiliar!$B$16:$D$24,3,0)*Table1[[#This Row],[Estimação (horas)]]</f>
        <v>2</v>
      </c>
      <c r="X1460" s="113"/>
    </row>
    <row r="1461" spans="2:24" ht="17.7" hidden="1" customHeight="1">
      <c r="B1461" s="38" t="s">
        <v>26</v>
      </c>
      <c r="C1461" s="38" t="s">
        <v>26</v>
      </c>
      <c r="D1461" s="40" t="s">
        <v>1292</v>
      </c>
      <c r="E1461" s="46" t="s">
        <v>1294</v>
      </c>
      <c r="F1461" s="42" t="s">
        <v>368</v>
      </c>
      <c r="G1461" s="40" t="s">
        <v>374</v>
      </c>
      <c r="H1461" s="58" t="str">
        <f>Table1[[#This Row],[Tabela]]&amp;Table1[[#This Row],[Campo]]</f>
        <v>lt004_protectionemssns_scp2_prtctn</v>
      </c>
      <c r="I1461" s="2" t="s">
        <v>612</v>
      </c>
      <c r="J1461" s="44">
        <f>VLOOKUP(Table1[[#This Row],[Status]],Auxiliar!$B$16:$C$24,2,0)</f>
        <v>1</v>
      </c>
      <c r="K1461" s="45" t="s">
        <v>1190</v>
      </c>
      <c r="L1461" s="45" t="s">
        <v>1193</v>
      </c>
      <c r="M1461" s="20" t="s">
        <v>1194</v>
      </c>
      <c r="N1461" s="47">
        <v>45667</v>
      </c>
      <c r="O1461" s="20">
        <f>INDEX(Auxiliar!$D$5:$F$13,MATCH(Table1[[#This Row],[Tipologia_Testes]],Auxiliar!$B$5:$B$13,0),MATCH(Table1[[#This Row],[Complexidade]],Auxiliar!$D$4:$F$4,0))</f>
        <v>0.1</v>
      </c>
      <c r="P1461" s="42" t="s">
        <v>1279</v>
      </c>
      <c r="Q1461" s="151"/>
      <c r="R1461" s="151">
        <v>45622</v>
      </c>
      <c r="S1461" s="151"/>
      <c r="T1461" s="151"/>
      <c r="U1461" s="151">
        <v>45631</v>
      </c>
      <c r="V1461" s="151">
        <v>45631</v>
      </c>
      <c r="W1461" s="2">
        <f>VLOOKUP(Table1[[#This Row],[Status]],Auxiliar!$B$16:$D$24,3,0)*Table1[[#This Row],[Estimação (horas)]]</f>
        <v>0.1</v>
      </c>
      <c r="X1461" s="113"/>
    </row>
    <row r="1462" spans="2:24" ht="17.7" hidden="1" customHeight="1">
      <c r="B1462" s="38" t="s">
        <v>26</v>
      </c>
      <c r="C1462" s="38" t="s">
        <v>26</v>
      </c>
      <c r="D1462" s="383" t="s">
        <v>1292</v>
      </c>
      <c r="E1462" s="111" t="s">
        <v>1293</v>
      </c>
      <c r="F1462" s="39" t="s">
        <v>368</v>
      </c>
      <c r="G1462" s="387" t="s">
        <v>373</v>
      </c>
      <c r="H1462" s="388" t="str">
        <f>Table1[[#This Row],[Tabela]]&amp;Table1[[#This Row],[Campo]]</f>
        <v>lt004_protectionemssns_scp1_prtctn</v>
      </c>
      <c r="I1462" s="2" t="s">
        <v>612</v>
      </c>
      <c r="J1462" s="44">
        <f>VLOOKUP(Table1[[#This Row],[Status]],Auxiliar!$B$16:$C$24,2,0)</f>
        <v>1</v>
      </c>
      <c r="K1462" s="45" t="s">
        <v>1187</v>
      </c>
      <c r="L1462" s="45" t="s">
        <v>1193</v>
      </c>
      <c r="M1462" s="20" t="s">
        <v>1194</v>
      </c>
      <c r="N1462" s="47">
        <v>45667</v>
      </c>
      <c r="O1462" s="20">
        <f>INDEX(Auxiliar!$D$5:$F$13,MATCH(Table1[[#This Row],[Tipologia_Testes]],Auxiliar!$B$5:$B$13,0),MATCH(Table1[[#This Row],[Complexidade]],Auxiliar!$D$4:$F$4,0))</f>
        <v>2</v>
      </c>
      <c r="P1462" s="42" t="s">
        <v>1279</v>
      </c>
      <c r="Q1462" s="42"/>
      <c r="R1462" s="151">
        <v>45622</v>
      </c>
      <c r="S1462" s="151"/>
      <c r="T1462" s="151"/>
      <c r="U1462" s="151">
        <v>45631</v>
      </c>
      <c r="V1462" s="151">
        <v>45631</v>
      </c>
      <c r="W1462" s="2">
        <f>VLOOKUP(Table1[[#This Row],[Status]],Auxiliar!$B$16:$D$24,3,0)*Table1[[#This Row],[Estimação (horas)]]</f>
        <v>2</v>
      </c>
      <c r="X1462" s="113"/>
    </row>
    <row r="1463" spans="2:24" ht="17.7" hidden="1" customHeight="1">
      <c r="B1463" s="38" t="s">
        <v>26</v>
      </c>
      <c r="C1463" s="38" t="s">
        <v>26</v>
      </c>
      <c r="D1463" s="40" t="s">
        <v>1292</v>
      </c>
      <c r="E1463" s="46" t="s">
        <v>1293</v>
      </c>
      <c r="F1463" s="42" t="s">
        <v>368</v>
      </c>
      <c r="G1463" s="40" t="s">
        <v>373</v>
      </c>
      <c r="H1463" s="58" t="str">
        <f>Table1[[#This Row],[Tabela]]&amp;Table1[[#This Row],[Campo]]</f>
        <v>lt004_protectionemssns_scp1_prtctn</v>
      </c>
      <c r="I1463" s="2" t="s">
        <v>612</v>
      </c>
      <c r="J1463" s="44">
        <f>VLOOKUP(Table1[[#This Row],[Status]],Auxiliar!$B$16:$C$24,2,0)</f>
        <v>1</v>
      </c>
      <c r="K1463" s="45" t="s">
        <v>1188</v>
      </c>
      <c r="L1463" s="45" t="s">
        <v>1193</v>
      </c>
      <c r="M1463" s="20" t="s">
        <v>1194</v>
      </c>
      <c r="N1463" s="47">
        <v>45667</v>
      </c>
      <c r="O1463" s="20">
        <f>INDEX(Auxiliar!$D$5:$F$13,MATCH(Table1[[#This Row],[Tipologia_Testes]],Auxiliar!$B$5:$B$13,0),MATCH(Table1[[#This Row],[Complexidade]],Auxiliar!$D$4:$F$4,0))</f>
        <v>2</v>
      </c>
      <c r="P1463" s="42" t="s">
        <v>1279</v>
      </c>
      <c r="Q1463" s="42"/>
      <c r="R1463" s="151">
        <v>45622</v>
      </c>
      <c r="S1463" s="151"/>
      <c r="T1463" s="151"/>
      <c r="U1463" s="151">
        <v>45631</v>
      </c>
      <c r="V1463" s="151">
        <v>45631</v>
      </c>
      <c r="W1463" s="2">
        <f>VLOOKUP(Table1[[#This Row],[Status]],Auxiliar!$B$16:$D$24,3,0)*Table1[[#This Row],[Estimação (horas)]]</f>
        <v>2</v>
      </c>
      <c r="X1463" s="113"/>
    </row>
    <row r="1464" spans="2:24" ht="17.7" hidden="1" customHeight="1">
      <c r="B1464" s="38" t="s">
        <v>26</v>
      </c>
      <c r="C1464" s="38" t="s">
        <v>26</v>
      </c>
      <c r="D1464" s="40" t="s">
        <v>1292</v>
      </c>
      <c r="E1464" s="46" t="s">
        <v>1293</v>
      </c>
      <c r="F1464" s="42" t="s">
        <v>368</v>
      </c>
      <c r="G1464" s="40" t="s">
        <v>373</v>
      </c>
      <c r="H1464" s="58" t="str">
        <f>Table1[[#This Row],[Tabela]]&amp;Table1[[#This Row],[Campo]]</f>
        <v>lt004_protectionemssns_scp1_prtctn</v>
      </c>
      <c r="I1464" s="2" t="s">
        <v>612</v>
      </c>
      <c r="J1464" s="44">
        <f>VLOOKUP(Table1[[#This Row],[Status]],Auxiliar!$B$16:$C$24,2,0)</f>
        <v>1</v>
      </c>
      <c r="K1464" s="45" t="s">
        <v>1190</v>
      </c>
      <c r="L1464" s="45" t="s">
        <v>1193</v>
      </c>
      <c r="M1464" s="20" t="s">
        <v>1194</v>
      </c>
      <c r="N1464" s="47">
        <v>45667</v>
      </c>
      <c r="O1464" s="20">
        <f>INDEX(Auxiliar!$D$5:$F$13,MATCH(Table1[[#This Row],[Tipologia_Testes]],Auxiliar!$B$5:$B$13,0),MATCH(Table1[[#This Row],[Complexidade]],Auxiliar!$D$4:$F$4,0))</f>
        <v>0.1</v>
      </c>
      <c r="P1464" s="42" t="s">
        <v>1279</v>
      </c>
      <c r="Q1464" s="42"/>
      <c r="R1464" s="151">
        <v>45622</v>
      </c>
      <c r="S1464" s="151"/>
      <c r="T1464" s="151"/>
      <c r="U1464" s="151">
        <v>45631</v>
      </c>
      <c r="V1464" s="151">
        <v>45631</v>
      </c>
      <c r="W1464" s="2">
        <f>VLOOKUP(Table1[[#This Row],[Status]],Auxiliar!$B$16:$D$24,3,0)*Table1[[#This Row],[Estimação (horas)]]</f>
        <v>0.1</v>
      </c>
      <c r="X1464" s="113"/>
    </row>
    <row r="1465" spans="2:24" ht="17.7" hidden="1" customHeight="1">
      <c r="B1465" s="38" t="s">
        <v>26</v>
      </c>
      <c r="C1465" s="38" t="s">
        <v>26</v>
      </c>
      <c r="D1465" s="40"/>
      <c r="E1465" s="46"/>
      <c r="F1465" s="42" t="s">
        <v>368</v>
      </c>
      <c r="G1465" s="481" t="s">
        <v>2308</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7" hidden="1" customHeight="1">
      <c r="B1466" s="38" t="s">
        <v>26</v>
      </c>
      <c r="C1466" s="38" t="s">
        <v>26</v>
      </c>
      <c r="D1466" s="40"/>
      <c r="E1466" s="46"/>
      <c r="F1466" s="42" t="s">
        <v>368</v>
      </c>
      <c r="G1466" s="481" t="s">
        <v>2309</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7" hidden="1" customHeight="1">
      <c r="B1467" s="38" t="s">
        <v>26</v>
      </c>
      <c r="C1467" s="38" t="s">
        <v>26</v>
      </c>
      <c r="D1467" s="40"/>
      <c r="E1467" s="46"/>
      <c r="F1467" s="42" t="s">
        <v>368</v>
      </c>
      <c r="G1467" s="481" t="s">
        <v>2310</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7" hidden="1" customHeight="1">
      <c r="B1468" s="38" t="s">
        <v>26</v>
      </c>
      <c r="C1468" s="38" t="s">
        <v>26</v>
      </c>
      <c r="D1468" s="40"/>
      <c r="E1468" s="46"/>
      <c r="F1468" s="42" t="s">
        <v>368</v>
      </c>
      <c r="G1468" s="481" t="s">
        <v>2311</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7" hidden="1" customHeight="1">
      <c r="B1469" s="38" t="s">
        <v>26</v>
      </c>
      <c r="C1469" s="38" t="s">
        <v>26</v>
      </c>
      <c r="D1469" s="40"/>
      <c r="E1469" s="46"/>
      <c r="F1469" s="42" t="s">
        <v>368</v>
      </c>
      <c r="G1469" s="481" t="s">
        <v>2312</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7" hidden="1" customHeight="1">
      <c r="B1470" s="38" t="s">
        <v>26</v>
      </c>
      <c r="C1470" s="38" t="s">
        <v>26</v>
      </c>
      <c r="D1470" s="40"/>
      <c r="E1470" s="46"/>
      <c r="F1470" s="42" t="s">
        <v>368</v>
      </c>
      <c r="G1470" s="481" t="s">
        <v>2313</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7" hidden="1" customHeight="1">
      <c r="B1471" s="38" t="s">
        <v>26</v>
      </c>
      <c r="C1471" s="38" t="s">
        <v>26</v>
      </c>
      <c r="D1471" s="40"/>
      <c r="E1471" s="46"/>
      <c r="F1471" s="42" t="s">
        <v>368</v>
      </c>
      <c r="G1471" s="481" t="s">
        <v>2314</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7" hidden="1" customHeight="1">
      <c r="B1472" s="38" t="s">
        <v>26</v>
      </c>
      <c r="C1472" s="38" t="s">
        <v>26</v>
      </c>
      <c r="D1472" s="40"/>
      <c r="E1472" s="46"/>
      <c r="F1472" s="42" t="s">
        <v>368</v>
      </c>
      <c r="G1472" s="481" t="s">
        <v>2315</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7" hidden="1" customHeight="1">
      <c r="B1473" s="38" t="s">
        <v>26</v>
      </c>
      <c r="C1473" s="38" t="s">
        <v>26</v>
      </c>
      <c r="D1473" s="40"/>
      <c r="E1473" s="46"/>
      <c r="F1473" s="42" t="s">
        <v>368</v>
      </c>
      <c r="G1473" s="481" t="s">
        <v>2316</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7" hidden="1" customHeight="1">
      <c r="B1474" s="38" t="s">
        <v>26</v>
      </c>
      <c r="C1474" s="38" t="s">
        <v>26</v>
      </c>
      <c r="D1474" s="40"/>
      <c r="E1474" s="46"/>
      <c r="F1474" s="42" t="s">
        <v>368</v>
      </c>
      <c r="G1474" s="481" t="s">
        <v>2317</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7" hidden="1" customHeight="1">
      <c r="B1475" s="38" t="s">
        <v>26</v>
      </c>
      <c r="C1475" s="38" t="s">
        <v>26</v>
      </c>
      <c r="D1475" s="40"/>
      <c r="E1475" s="46"/>
      <c r="F1475" s="42" t="s">
        <v>368</v>
      </c>
      <c r="G1475" s="481" t="s">
        <v>2318</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7" hidden="1" customHeight="1">
      <c r="B1476" s="38" t="s">
        <v>26</v>
      </c>
      <c r="C1476" s="38" t="s">
        <v>26</v>
      </c>
      <c r="D1476" s="40"/>
      <c r="E1476" s="46"/>
      <c r="F1476" s="42" t="s">
        <v>368</v>
      </c>
      <c r="G1476" s="481" t="s">
        <v>2319</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7" hidden="1" customHeight="1">
      <c r="B1477" s="38" t="s">
        <v>26</v>
      </c>
      <c r="C1477" s="38" t="s">
        <v>26</v>
      </c>
      <c r="D1477" s="40"/>
      <c r="E1477" s="46"/>
      <c r="F1477" s="42" t="s">
        <v>368</v>
      </c>
      <c r="G1477" s="481" t="s">
        <v>2320</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7" hidden="1" customHeight="1">
      <c r="B1478" s="38" t="s">
        <v>26</v>
      </c>
      <c r="C1478" s="38" t="s">
        <v>26</v>
      </c>
      <c r="D1478" s="40"/>
      <c r="E1478" s="46"/>
      <c r="F1478" s="42" t="s">
        <v>368</v>
      </c>
      <c r="G1478" s="481" t="s">
        <v>2321</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7" hidden="1" customHeight="1">
      <c r="B1479" s="38" t="s">
        <v>26</v>
      </c>
      <c r="C1479" s="38" t="s">
        <v>26</v>
      </c>
      <c r="D1479" s="40"/>
      <c r="E1479" s="46"/>
      <c r="F1479" s="42" t="s">
        <v>368</v>
      </c>
      <c r="G1479" s="481" t="s">
        <v>2322</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7" hidden="1" customHeight="1">
      <c r="B1480" s="38" t="s">
        <v>26</v>
      </c>
      <c r="C1480" s="38" t="s">
        <v>26</v>
      </c>
      <c r="D1480" s="40"/>
      <c r="E1480" s="46"/>
      <c r="F1480" s="42" t="s">
        <v>368</v>
      </c>
      <c r="G1480" s="481" t="s">
        <v>2323</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7" hidden="1" customHeight="1">
      <c r="B1481" s="38" t="s">
        <v>26</v>
      </c>
      <c r="C1481" s="38" t="s">
        <v>26</v>
      </c>
      <c r="D1481" s="40"/>
      <c r="E1481" s="46"/>
      <c r="F1481" s="42" t="s">
        <v>368</v>
      </c>
      <c r="G1481" s="481" t="s">
        <v>2324</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7" hidden="1" customHeight="1">
      <c r="B1482" s="38" t="s">
        <v>26</v>
      </c>
      <c r="C1482" s="38" t="s">
        <v>26</v>
      </c>
      <c r="D1482" s="40"/>
      <c r="E1482" s="46"/>
      <c r="F1482" s="42" t="s">
        <v>368</v>
      </c>
      <c r="G1482" s="481" t="s">
        <v>2325</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7" hidden="1" customHeight="1">
      <c r="B1483" s="38" t="s">
        <v>26</v>
      </c>
      <c r="C1483" s="38" t="s">
        <v>26</v>
      </c>
      <c r="D1483" s="40"/>
      <c r="E1483" s="46"/>
      <c r="F1483" s="42" t="s">
        <v>368</v>
      </c>
      <c r="G1483" s="481" t="s">
        <v>2326</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7" hidden="1" customHeight="1">
      <c r="B1484" s="38" t="s">
        <v>26</v>
      </c>
      <c r="C1484" s="38" t="s">
        <v>26</v>
      </c>
      <c r="D1484" s="40"/>
      <c r="E1484" s="46"/>
      <c r="F1484" s="42" t="s">
        <v>368</v>
      </c>
      <c r="G1484" s="481" t="s">
        <v>2327</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7" hidden="1" customHeight="1">
      <c r="B1485" s="38" t="s">
        <v>26</v>
      </c>
      <c r="C1485" s="38" t="s">
        <v>26</v>
      </c>
      <c r="D1485" s="40"/>
      <c r="E1485" s="46"/>
      <c r="F1485" s="42" t="s">
        <v>368</v>
      </c>
      <c r="G1485" s="481" t="s">
        <v>2328</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7" hidden="1" customHeight="1">
      <c r="B1486" s="38" t="s">
        <v>26</v>
      </c>
      <c r="C1486" s="38" t="s">
        <v>26</v>
      </c>
      <c r="D1486" s="40"/>
      <c r="E1486" s="46"/>
      <c r="F1486" s="42" t="s">
        <v>368</v>
      </c>
      <c r="G1486" s="481" t="s">
        <v>2329</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7" hidden="1" customHeight="1">
      <c r="B1487" s="38" t="s">
        <v>26</v>
      </c>
      <c r="C1487" s="38" t="s">
        <v>26</v>
      </c>
      <c r="D1487" s="40"/>
      <c r="E1487" s="46"/>
      <c r="F1487" s="42" t="s">
        <v>368</v>
      </c>
      <c r="G1487" s="481" t="s">
        <v>2330</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7" hidden="1"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1192</v>
      </c>
      <c r="L1488" s="45" t="s">
        <v>1193</v>
      </c>
      <c r="M1488" s="20" t="s">
        <v>1194</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7" hidden="1"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1192</v>
      </c>
      <c r="L1489" s="45" t="s">
        <v>1193</v>
      </c>
      <c r="M1489" s="20" t="s">
        <v>1194</v>
      </c>
      <c r="N1489" s="47">
        <v>45590</v>
      </c>
      <c r="O1489" s="112">
        <v>0.1</v>
      </c>
      <c r="P1489" s="31" t="s">
        <v>1276</v>
      </c>
      <c r="Q1489" s="202"/>
      <c r="R1489" s="151"/>
      <c r="S1489" s="151"/>
      <c r="T1489" s="151"/>
      <c r="U1489" s="151"/>
      <c r="V1489" s="151"/>
      <c r="W1489" s="2">
        <f>VLOOKUP(Table1[[#This Row],[Status]],Auxiliar!$B$16:$D$24,3,0)*Table1[[#This Row],[Estimação (horas)]]</f>
        <v>0.1</v>
      </c>
      <c r="X1489" s="202"/>
    </row>
    <row r="1490" spans="2:24" ht="17.7"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1192</v>
      </c>
      <c r="L1490" s="45" t="s">
        <v>1193</v>
      </c>
      <c r="M1490" s="20" t="s">
        <v>1194</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7"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1192</v>
      </c>
      <c r="L1491" s="45" t="s">
        <v>1193</v>
      </c>
      <c r="M1491" s="20" t="s">
        <v>1194</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7"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1192</v>
      </c>
      <c r="L1492" s="45" t="s">
        <v>1193</v>
      </c>
      <c r="M1492" s="20" t="s">
        <v>1194</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7"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1192</v>
      </c>
      <c r="L1493" s="45" t="s">
        <v>1193</v>
      </c>
      <c r="M1493" s="20" t="s">
        <v>1194</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7"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1192</v>
      </c>
      <c r="L1494" s="45" t="s">
        <v>1193</v>
      </c>
      <c r="M1494" s="20" t="s">
        <v>1194</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7"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1192</v>
      </c>
      <c r="L1495" s="45" t="s">
        <v>1193</v>
      </c>
      <c r="M1495" s="20" t="s">
        <v>1194</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7"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1192</v>
      </c>
      <c r="L1496" s="45" t="s">
        <v>1193</v>
      </c>
      <c r="M1496" s="20" t="s">
        <v>1194</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7"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1192</v>
      </c>
      <c r="L1497" s="45" t="s">
        <v>1193</v>
      </c>
      <c r="M1497" s="20" t="s">
        <v>1194</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7"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1192</v>
      </c>
      <c r="L1498" s="45" t="s">
        <v>1193</v>
      </c>
      <c r="M1498" s="20" t="s">
        <v>1194</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7" hidden="1" customHeight="1">
      <c r="B1499" s="38" t="s">
        <v>26</v>
      </c>
      <c r="C1499" s="38" t="s">
        <v>26</v>
      </c>
      <c r="D1499" s="19" t="s">
        <v>399</v>
      </c>
      <c r="E1499" s="111" t="s">
        <v>38</v>
      </c>
      <c r="F1499" s="2" t="s">
        <v>441</v>
      </c>
      <c r="G1499" s="12" t="s">
        <v>2354</v>
      </c>
      <c r="H1499" s="58" t="str">
        <f>Table1[[#This Row],[Tabela]]&amp;Table1[[#This Row],[Campo]]</f>
        <v>lt006_instr_protTYP_RLTN</v>
      </c>
      <c r="I1499" s="2" t="s">
        <v>28</v>
      </c>
      <c r="J1499" s="44">
        <f>VLOOKUP(Table1[[#This Row],[Status]],Auxiliar!$B$16:$C$24,2,0)</f>
        <v>8</v>
      </c>
      <c r="K1499" s="20" t="s">
        <v>1192</v>
      </c>
      <c r="L1499" s="45" t="s">
        <v>1193</v>
      </c>
      <c r="M1499" s="20" t="s">
        <v>1194</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7"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1192</v>
      </c>
      <c r="L1500" s="45" t="s">
        <v>1193</v>
      </c>
      <c r="M1500" s="20" t="s">
        <v>1194</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7" hidden="1" customHeight="1">
      <c r="B1501" s="12" t="s">
        <v>26</v>
      </c>
      <c r="C1501" s="12" t="s">
        <v>181</v>
      </c>
      <c r="D1501" s="12" t="s">
        <v>1237</v>
      </c>
      <c r="E1501" s="2" t="s">
        <v>38</v>
      </c>
      <c r="F1501" s="2" t="s">
        <v>218</v>
      </c>
      <c r="G1501" s="12" t="s">
        <v>220</v>
      </c>
      <c r="H1501" s="58" t="str">
        <f>Table1[[#This Row],[Tabela]]&amp;Table1[[#This Row],[Campo]]</f>
        <v>modesg_inp_emss_nacenome_regiao</v>
      </c>
      <c r="I1501" s="2" t="s">
        <v>611</v>
      </c>
      <c r="J1501" s="44">
        <f>VLOOKUP(Table1[[#This Row],[Status]],Auxiliar!$B$16:$C$24,2,0)</f>
        <v>0</v>
      </c>
      <c r="K1501" s="20" t="s">
        <v>1198</v>
      </c>
      <c r="L1501" s="20" t="s">
        <v>1205</v>
      </c>
      <c r="M1501" s="20" t="s">
        <v>1194</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7" hidden="1" customHeight="1">
      <c r="B1502" s="12" t="s">
        <v>26</v>
      </c>
      <c r="C1502" s="12" t="s">
        <v>181</v>
      </c>
      <c r="D1502" s="12" t="s">
        <v>1237</v>
      </c>
      <c r="E1502" s="2" t="s">
        <v>38</v>
      </c>
      <c r="F1502" s="2" t="s">
        <v>218</v>
      </c>
      <c r="G1502" s="12" t="s">
        <v>658</v>
      </c>
      <c r="H1502" s="58" t="str">
        <f>Table1[[#This Row],[Tabela]]&amp;Table1[[#This Row],[Campo]]</f>
        <v>modesg_inp_emss_nacearea_atividade</v>
      </c>
      <c r="I1502" s="2" t="s">
        <v>611</v>
      </c>
      <c r="J1502" s="44">
        <f>VLOOKUP(Table1[[#This Row],[Status]],Auxiliar!$B$16:$C$24,2,0)</f>
        <v>0</v>
      </c>
      <c r="K1502" s="20" t="s">
        <v>1198</v>
      </c>
      <c r="L1502" s="20" t="s">
        <v>1205</v>
      </c>
      <c r="M1502" s="20" t="s">
        <v>1194</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7" hidden="1" customHeight="1">
      <c r="B1503" s="12" t="s">
        <v>26</v>
      </c>
      <c r="C1503" s="12" t="s">
        <v>181</v>
      </c>
      <c r="D1503" s="12" t="s">
        <v>1237</v>
      </c>
      <c r="E1503" s="2" t="s">
        <v>38</v>
      </c>
      <c r="F1503" s="2" t="s">
        <v>218</v>
      </c>
      <c r="G1503" s="12" t="s">
        <v>659</v>
      </c>
      <c r="H1503" s="58" t="str">
        <f>Table1[[#This Row],[Tabela]]&amp;Table1[[#This Row],[Campo]]</f>
        <v>modesg_inp_emss_nacetipo_atividade</v>
      </c>
      <c r="I1503" s="2" t="s">
        <v>611</v>
      </c>
      <c r="J1503" s="44">
        <f>VLOOKUP(Table1[[#This Row],[Status]],Auxiliar!$B$16:$C$24,2,0)</f>
        <v>0</v>
      </c>
      <c r="K1503" s="20" t="s">
        <v>1198</v>
      </c>
      <c r="L1503" s="20" t="s">
        <v>1205</v>
      </c>
      <c r="M1503" s="20" t="s">
        <v>1194</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7" hidden="1" customHeight="1">
      <c r="B1504" s="12" t="s">
        <v>26</v>
      </c>
      <c r="C1504" s="12" t="s">
        <v>181</v>
      </c>
      <c r="D1504" s="12" t="s">
        <v>1237</v>
      </c>
      <c r="E1504" s="2" t="s">
        <v>38</v>
      </c>
      <c r="F1504" s="2" t="s">
        <v>218</v>
      </c>
      <c r="G1504" s="12" t="s">
        <v>660</v>
      </c>
      <c r="H1504" s="58" t="str">
        <f>Table1[[#This Row],[Tabela]]&amp;Table1[[#This Row],[Campo]]</f>
        <v>modesg_inp_emss_nacesub_tipo_atividade_1</v>
      </c>
      <c r="I1504" s="2" t="s">
        <v>611</v>
      </c>
      <c r="J1504" s="44">
        <f>VLOOKUP(Table1[[#This Row],[Status]],Auxiliar!$B$16:$C$24,2,0)</f>
        <v>0</v>
      </c>
      <c r="K1504" s="20" t="s">
        <v>1198</v>
      </c>
      <c r="L1504" s="20" t="s">
        <v>1205</v>
      </c>
      <c r="M1504" s="20" t="s">
        <v>1194</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7" hidden="1" customHeight="1">
      <c r="B1505" s="12" t="s">
        <v>26</v>
      </c>
      <c r="C1505" s="12" t="s">
        <v>181</v>
      </c>
      <c r="D1505" s="12" t="s">
        <v>1237</v>
      </c>
      <c r="E1505" s="2" t="s">
        <v>38</v>
      </c>
      <c r="F1505" s="2" t="s">
        <v>218</v>
      </c>
      <c r="G1505" s="12" t="s">
        <v>661</v>
      </c>
      <c r="H1505" s="58" t="str">
        <f>Table1[[#This Row],[Tabela]]&amp;Table1[[#This Row],[Campo]]</f>
        <v>modesg_inp_emss_nacesub_tipo_atividade_2</v>
      </c>
      <c r="I1505" s="2" t="s">
        <v>611</v>
      </c>
      <c r="J1505" s="44">
        <f>VLOOKUP(Table1[[#This Row],[Status]],Auxiliar!$B$16:$C$24,2,0)</f>
        <v>0</v>
      </c>
      <c r="K1505" s="20" t="s">
        <v>1198</v>
      </c>
      <c r="L1505" s="20" t="s">
        <v>1205</v>
      </c>
      <c r="M1505" s="20" t="s">
        <v>1194</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7" hidden="1" customHeight="1">
      <c r="B1506" s="12" t="s">
        <v>26</v>
      </c>
      <c r="C1506" s="12" t="s">
        <v>181</v>
      </c>
      <c r="D1506" s="12" t="s">
        <v>1237</v>
      </c>
      <c r="E1506" s="2" t="s">
        <v>38</v>
      </c>
      <c r="F1506" s="2" t="s">
        <v>218</v>
      </c>
      <c r="G1506" s="12" t="s">
        <v>662</v>
      </c>
      <c r="H1506" s="58" t="str">
        <f>Table1[[#This Row],[Tabela]]&amp;Table1[[#This Row],[Campo]]</f>
        <v>modesg_inp_emss_naceunidades_unidade_funcional</v>
      </c>
      <c r="I1506" s="2" t="s">
        <v>611</v>
      </c>
      <c r="J1506" s="44">
        <f>VLOOKUP(Table1[[#This Row],[Status]],Auxiliar!$B$16:$C$24,2,0)</f>
        <v>0</v>
      </c>
      <c r="K1506" s="20" t="s">
        <v>1198</v>
      </c>
      <c r="L1506" s="20" t="s">
        <v>1205</v>
      </c>
      <c r="M1506" s="20" t="s">
        <v>1194</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7" hidden="1" customHeight="1">
      <c r="B1507" s="12" t="s">
        <v>26</v>
      </c>
      <c r="C1507" s="12" t="s">
        <v>181</v>
      </c>
      <c r="D1507" s="12" t="s">
        <v>1237</v>
      </c>
      <c r="E1507" s="2" t="s">
        <v>38</v>
      </c>
      <c r="F1507" s="2" t="s">
        <v>218</v>
      </c>
      <c r="G1507" s="12" t="s">
        <v>663</v>
      </c>
      <c r="H1507" s="58" t="str">
        <f>Table1[[#This Row],[Tabela]]&amp;Table1[[#This Row],[Campo]]</f>
        <v>modesg_inp_emss_nacefator_emissao</v>
      </c>
      <c r="I1507" s="2" t="s">
        <v>611</v>
      </c>
      <c r="J1507" s="44">
        <f>VLOOKUP(Table1[[#This Row],[Status]],Auxiliar!$B$16:$C$24,2,0)</f>
        <v>0</v>
      </c>
      <c r="K1507" s="20" t="s">
        <v>1198</v>
      </c>
      <c r="L1507" s="20" t="s">
        <v>1205</v>
      </c>
      <c r="M1507" s="20" t="s">
        <v>1194</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7" hidden="1" customHeight="1">
      <c r="B1508" s="12" t="s">
        <v>26</v>
      </c>
      <c r="C1508" s="12" t="s">
        <v>181</v>
      </c>
      <c r="D1508" s="12" t="s">
        <v>1237</v>
      </c>
      <c r="E1508" s="2" t="s">
        <v>38</v>
      </c>
      <c r="F1508" s="2" t="s">
        <v>213</v>
      </c>
      <c r="G1508" s="12" t="s">
        <v>664</v>
      </c>
      <c r="H1508" s="58" t="str">
        <f>Table1[[#This Row],[Tabela]]&amp;Table1[[#This Row],[Campo]]</f>
        <v>modesg_inp_km_medios_emss_vclsmedia_scp1_emss</v>
      </c>
      <c r="I1508" s="2" t="s">
        <v>611</v>
      </c>
      <c r="J1508" s="44">
        <f>VLOOKUP(Table1[[#This Row],[Status]],Auxiliar!$B$16:$C$24,2,0)</f>
        <v>0</v>
      </c>
      <c r="K1508" s="20" t="s">
        <v>1198</v>
      </c>
      <c r="L1508" s="20" t="s">
        <v>1205</v>
      </c>
      <c r="M1508" s="20" t="s">
        <v>1194</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7" hidden="1" customHeight="1">
      <c r="B1509" s="12" t="s">
        <v>26</v>
      </c>
      <c r="C1509" s="12" t="s">
        <v>181</v>
      </c>
      <c r="D1509" s="12" t="s">
        <v>1237</v>
      </c>
      <c r="E1509" s="2" t="s">
        <v>38</v>
      </c>
      <c r="F1509" s="2" t="s">
        <v>213</v>
      </c>
      <c r="G1509" s="12" t="s">
        <v>665</v>
      </c>
      <c r="H1509" s="58" t="str">
        <f>Table1[[#This Row],[Tabela]]&amp;Table1[[#This Row],[Campo]]</f>
        <v>modesg_inp_km_medios_emss_vclsmedia_scp2_emss</v>
      </c>
      <c r="I1509" s="2" t="s">
        <v>611</v>
      </c>
      <c r="J1509" s="44">
        <f>VLOOKUP(Table1[[#This Row],[Status]],Auxiliar!$B$16:$C$24,2,0)</f>
        <v>0</v>
      </c>
      <c r="K1509" s="20" t="s">
        <v>1198</v>
      </c>
      <c r="L1509" s="20" t="s">
        <v>1205</v>
      </c>
      <c r="M1509" s="20" t="s">
        <v>1194</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399999999999999" hidden="1">
      <c r="B1510" s="19" t="s">
        <v>26</v>
      </c>
      <c r="C1510" s="19" t="s">
        <v>181</v>
      </c>
      <c r="D1510" s="12" t="s">
        <v>1237</v>
      </c>
      <c r="E1510" s="2" t="s">
        <v>38</v>
      </c>
      <c r="F1510" s="31" t="s">
        <v>213</v>
      </c>
      <c r="G1510" s="19" t="s">
        <v>666</v>
      </c>
      <c r="H1510" s="58" t="str">
        <f>Table1[[#This Row],[Tabela]]&amp;Table1[[#This Row],[Campo]]</f>
        <v>modesg_inp_km_medios_emss_vclsmedia_scp3_emss</v>
      </c>
      <c r="I1510" s="2" t="s">
        <v>611</v>
      </c>
      <c r="J1510" s="44">
        <f>VLOOKUP(Table1[[#This Row],[Status]],Auxiliar!$B$16:$C$24,2,0)</f>
        <v>0</v>
      </c>
      <c r="K1510" s="20" t="s">
        <v>1198</v>
      </c>
      <c r="L1510" s="20" t="s">
        <v>1205</v>
      </c>
      <c r="M1510" s="20" t="s">
        <v>1194</v>
      </c>
      <c r="N1510" s="47">
        <v>45491</v>
      </c>
      <c r="O1510" s="20">
        <f>INDEX(Auxiliar!$D$5:$F$13,MATCH(Table1[[#This Row],[Tipologia_Testes]],Auxiliar!$B$5:$B$13,0),MATCH(Table1[[#This Row],[Complexidade]],Auxiliar!$D$4:$F$4,0))</f>
        <v>0.5</v>
      </c>
      <c r="P1510" s="2" t="s">
        <v>1207</v>
      </c>
      <c r="Q1510" s="202"/>
      <c r="R1510" s="151"/>
      <c r="S1510" s="151"/>
      <c r="T1510" s="151"/>
      <c r="U1510" s="151"/>
      <c r="V1510" s="151"/>
      <c r="W1510" s="2">
        <f>VLOOKUP(Table1[[#This Row],[Status]],Auxiliar!$B$16:$D$24,3,0)*Table1[[#This Row],[Estimação (horas)]]</f>
        <v>0</v>
      </c>
      <c r="X1510" s="202"/>
    </row>
    <row r="1511" spans="2:24" ht="17.399999999999999" hidden="1">
      <c r="B1511" s="19" t="s">
        <v>26</v>
      </c>
      <c r="C1511" s="19" t="s">
        <v>181</v>
      </c>
      <c r="D1511" s="12" t="s">
        <v>1237</v>
      </c>
      <c r="E1511" s="2" t="s">
        <v>38</v>
      </c>
      <c r="F1511" s="31" t="s">
        <v>2117</v>
      </c>
      <c r="G1511" s="19" t="s">
        <v>2118</v>
      </c>
      <c r="H1511" s="58" t="str">
        <f>Table1[[#This Row],[Tabela]]&amp;Table1[[#This Row],[Campo]]</f>
        <v>modesg_inp_project_financecodigo_unidade</v>
      </c>
      <c r="I1511" s="2" t="s">
        <v>612</v>
      </c>
      <c r="J1511" s="44">
        <f>VLOOKUP(Table1[[#This Row],[Status]],Auxiliar!$B$16:$C$24,2,0)</f>
        <v>1</v>
      </c>
      <c r="K1511" s="20" t="s">
        <v>1198</v>
      </c>
      <c r="L1511" s="20" t="s">
        <v>1193</v>
      </c>
      <c r="M1511" s="20" t="s">
        <v>1194</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7.399999999999999" hidden="1">
      <c r="B1512" s="19" t="s">
        <v>26</v>
      </c>
      <c r="C1512" s="19" t="s">
        <v>181</v>
      </c>
      <c r="D1512" s="12" t="s">
        <v>1237</v>
      </c>
      <c r="E1512" s="2" t="s">
        <v>38</v>
      </c>
      <c r="F1512" s="31" t="s">
        <v>2117</v>
      </c>
      <c r="G1512" s="19" t="s">
        <v>2119</v>
      </c>
      <c r="H1512" s="58" t="str">
        <f>Table1[[#This Row],[Tabela]]&amp;Table1[[#This Row],[Campo]]</f>
        <v>modesg_inp_project_financenome_unidade</v>
      </c>
      <c r="I1512" s="2" t="s">
        <v>612</v>
      </c>
      <c r="J1512" s="44">
        <f>VLOOKUP(Table1[[#This Row],[Status]],Auxiliar!$B$16:$C$24,2,0)</f>
        <v>1</v>
      </c>
      <c r="K1512" s="20" t="s">
        <v>1198</v>
      </c>
      <c r="L1512" s="20" t="s">
        <v>1193</v>
      </c>
      <c r="M1512" s="20" t="s">
        <v>1194</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7.399999999999999" hidden="1">
      <c r="B1513" s="19" t="s">
        <v>26</v>
      </c>
      <c r="C1513" s="19" t="s">
        <v>181</v>
      </c>
      <c r="D1513" s="12" t="s">
        <v>1237</v>
      </c>
      <c r="E1513" s="2" t="s">
        <v>38</v>
      </c>
      <c r="F1513" s="31" t="s">
        <v>2117</v>
      </c>
      <c r="G1513" s="19" t="s">
        <v>2120</v>
      </c>
      <c r="H1513" s="58" t="str">
        <f>Table1[[#This Row],[Tabela]]&amp;Table1[[#This Row],[Campo]]</f>
        <v>modesg_inp_project_financekgl</v>
      </c>
      <c r="I1513" s="2" t="s">
        <v>612</v>
      </c>
      <c r="J1513" s="44">
        <f>VLOOKUP(Table1[[#This Row],[Status]],Auxiliar!$B$16:$C$24,2,0)</f>
        <v>1</v>
      </c>
      <c r="K1513" s="20" t="s">
        <v>1198</v>
      </c>
      <c r="L1513" s="20" t="s">
        <v>1193</v>
      </c>
      <c r="M1513" s="20" t="s">
        <v>1194</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7.399999999999999" hidden="1">
      <c r="B1514" s="19" t="s">
        <v>26</v>
      </c>
      <c r="C1514" s="19" t="s">
        <v>181</v>
      </c>
      <c r="D1514" s="12" t="s">
        <v>1237</v>
      </c>
      <c r="E1514" s="2" t="s">
        <v>38</v>
      </c>
      <c r="F1514" s="31" t="s">
        <v>2117</v>
      </c>
      <c r="G1514" s="19" t="s">
        <v>2121</v>
      </c>
      <c r="H1514" s="58" t="str">
        <f>Table1[[#This Row],[Tabela]]&amp;Table1[[#This Row],[Campo]]</f>
        <v>modesg_inp_project_financenome_legal_kgl</v>
      </c>
      <c r="I1514" s="2" t="s">
        <v>612</v>
      </c>
      <c r="J1514" s="44">
        <f>VLOOKUP(Table1[[#This Row],[Status]],Auxiliar!$B$16:$C$24,2,0)</f>
        <v>1</v>
      </c>
      <c r="K1514" s="20" t="s">
        <v>1198</v>
      </c>
      <c r="L1514" s="20" t="s">
        <v>1193</v>
      </c>
      <c r="M1514" s="20" t="s">
        <v>1194</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7.399999999999999" hidden="1">
      <c r="B1515" s="19" t="s">
        <v>26</v>
      </c>
      <c r="C1515" s="19" t="s">
        <v>181</v>
      </c>
      <c r="D1515" s="12" t="s">
        <v>1237</v>
      </c>
      <c r="E1515" s="2" t="s">
        <v>38</v>
      </c>
      <c r="F1515" s="31" t="s">
        <v>2117</v>
      </c>
      <c r="G1515" s="19" t="s">
        <v>2122</v>
      </c>
      <c r="H1515" s="58" t="str">
        <f>Table1[[#This Row],[Tabela]]&amp;Table1[[#This Row],[Campo]]</f>
        <v>modesg_inp_project_financekgl_top_entidade_principal</v>
      </c>
      <c r="I1515" s="2" t="s">
        <v>612</v>
      </c>
      <c r="J1515" s="44">
        <f>VLOOKUP(Table1[[#This Row],[Status]],Auxiliar!$B$16:$C$24,2,0)</f>
        <v>1</v>
      </c>
      <c r="K1515" s="20" t="s">
        <v>1198</v>
      </c>
      <c r="L1515" s="20" t="s">
        <v>1193</v>
      </c>
      <c r="M1515" s="20" t="s">
        <v>1194</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7.399999999999999" hidden="1">
      <c r="B1516" s="19" t="s">
        <v>26</v>
      </c>
      <c r="C1516" s="19" t="s">
        <v>181</v>
      </c>
      <c r="D1516" s="12" t="s">
        <v>1237</v>
      </c>
      <c r="E1516" s="2" t="s">
        <v>38</v>
      </c>
      <c r="F1516" s="31" t="s">
        <v>2117</v>
      </c>
      <c r="G1516" s="19" t="s">
        <v>2123</v>
      </c>
      <c r="H1516" s="58" t="str">
        <f>Table1[[#This Row],[Tabela]]&amp;Table1[[#This Row],[Campo]]</f>
        <v>modesg_inp_project_financekgl_entidade_principal</v>
      </c>
      <c r="I1516" s="2" t="s">
        <v>612</v>
      </c>
      <c r="J1516" s="44">
        <f>VLOOKUP(Table1[[#This Row],[Status]],Auxiliar!$B$16:$C$24,2,0)</f>
        <v>1</v>
      </c>
      <c r="K1516" s="20" t="s">
        <v>1198</v>
      </c>
      <c r="L1516" s="20" t="s">
        <v>1193</v>
      </c>
      <c r="M1516" s="20" t="s">
        <v>1194</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7.399999999999999" hidden="1">
      <c r="B1517" s="19" t="s">
        <v>26</v>
      </c>
      <c r="C1517" s="19" t="s">
        <v>181</v>
      </c>
      <c r="D1517" s="12" t="s">
        <v>1237</v>
      </c>
      <c r="E1517" s="2" t="s">
        <v>38</v>
      </c>
      <c r="F1517" s="31" t="s">
        <v>2117</v>
      </c>
      <c r="G1517" s="19" t="s">
        <v>2124</v>
      </c>
      <c r="H1517" s="58" t="str">
        <f>Table1[[#This Row],[Tabela]]&amp;Table1[[#This Row],[Campo]]</f>
        <v>modesg_inp_project_financenome_top_entidade_principal</v>
      </c>
      <c r="I1517" s="2" t="s">
        <v>612</v>
      </c>
      <c r="J1517" s="44">
        <f>VLOOKUP(Table1[[#This Row],[Status]],Auxiliar!$B$16:$C$24,2,0)</f>
        <v>1</v>
      </c>
      <c r="K1517" s="20" t="s">
        <v>1198</v>
      </c>
      <c r="L1517" s="20" t="s">
        <v>1193</v>
      </c>
      <c r="M1517" s="20" t="s">
        <v>1194</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 r="B1518" s="19" t="s">
        <v>26</v>
      </c>
      <c r="C1518" s="19" t="s">
        <v>181</v>
      </c>
      <c r="D1518" s="12" t="s">
        <v>1237</v>
      </c>
      <c r="E1518" s="2" t="s">
        <v>38</v>
      </c>
      <c r="F1518" s="31" t="s">
        <v>2117</v>
      </c>
      <c r="G1518" s="412" t="s">
        <v>2125</v>
      </c>
      <c r="H1518" s="414" t="str">
        <f>Table1[[#This Row],[Tabela]]&amp;Table1[[#This Row],[Campo]]</f>
        <v>modesg_inp_project_financecodigo_unidade_operativa</v>
      </c>
      <c r="I1518" s="2" t="s">
        <v>612</v>
      </c>
      <c r="J1518" s="415">
        <f>VLOOKUP(Table1[[#This Row],[Status]],Auxiliar!$B$16:$C$24,2,0)</f>
        <v>1</v>
      </c>
      <c r="K1518" s="20" t="s">
        <v>1198</v>
      </c>
      <c r="L1518" s="20" t="s">
        <v>1193</v>
      </c>
      <c r="M1518" s="20" t="s">
        <v>1194</v>
      </c>
      <c r="N1518" s="47">
        <v>45688</v>
      </c>
      <c r="O1518" s="416" t="e">
        <f>INDEX(Auxiliar!$D$5:$F$11,MATCH(Table1[[#This Row],[Tipologia_Testes]],Auxiliar!$B$5:$B$11,0),MATCH(Table1[[#This Row],[Complexidade]],Auxiliar!$D$4:$F$4,0))</f>
        <v>#N/A</v>
      </c>
      <c r="P1518" s="413"/>
      <c r="Q1518" s="417"/>
      <c r="R1518" s="418"/>
      <c r="S1518" s="419"/>
      <c r="T1518" s="419"/>
      <c r="U1518" s="419"/>
      <c r="V1518" s="419"/>
      <c r="W1518" s="420" t="e">
        <f>VLOOKUP(Table1[[#This Row],[Status]],Auxiliar!$B$16:$D$24,3,0)*Table1[[#This Row],[Estimação (horas)]]</f>
        <v>#N/A</v>
      </c>
      <c r="X1518" s="417"/>
    </row>
    <row r="1519" spans="2:24" ht="17.399999999999999" hidden="1">
      <c r="B1519" s="19" t="s">
        <v>26</v>
      </c>
      <c r="C1519" s="19" t="s">
        <v>181</v>
      </c>
      <c r="D1519" s="12" t="s">
        <v>1237</v>
      </c>
      <c r="E1519" s="2" t="s">
        <v>38</v>
      </c>
      <c r="F1519" s="31" t="s">
        <v>2117</v>
      </c>
      <c r="G1519" s="19" t="s">
        <v>2126</v>
      </c>
      <c r="H1519" s="414" t="str">
        <f>Table1[[#This Row],[Tabela]]&amp;Table1[[#This Row],[Campo]]</f>
        <v>modesg_inp_project_financenome_entidade_operativa</v>
      </c>
      <c r="I1519" s="2" t="s">
        <v>612</v>
      </c>
      <c r="J1519" s="415">
        <f>VLOOKUP(Table1[[#This Row],[Status]],Auxiliar!$B$16:$C$24,2,0)</f>
        <v>1</v>
      </c>
      <c r="K1519" s="20" t="s">
        <v>1198</v>
      </c>
      <c r="L1519" s="20" t="s">
        <v>1193</v>
      </c>
      <c r="M1519" s="20" t="s">
        <v>1194</v>
      </c>
      <c r="N1519" s="47">
        <v>45688</v>
      </c>
      <c r="O1519" s="416"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53" operator="containsText" id="{F0FC3167-D078-4732-B252-F6CF35A33118}">
            <xm:f>NOT(ISERROR(SEARCH(Auxiliar!$B$21,I191)))</xm:f>
            <xm:f>Auxiliar!$B$21</xm:f>
            <x14:dxf>
              <font>
                <b/>
                <i val="0"/>
                <color rgb="FFFFC000"/>
              </font>
              <fill>
                <patternFill>
                  <bgColor theme="9" tint="0.59996337778862885"/>
                </patternFill>
              </fill>
            </x14:dxf>
          </x14:cfRule>
          <x14:cfRule type="cellIs" priority="254" operator="equal" id="{0DF84132-7044-4342-A136-5BB25A806900}">
            <xm:f>Auxiliar!$B$24</xm:f>
            <x14:dxf>
              <font>
                <b/>
                <i val="0"/>
                <color theme="1"/>
              </font>
              <fill>
                <patternFill patternType="darkUp">
                  <bgColor theme="0"/>
                </patternFill>
              </fill>
            </x14:dxf>
          </x14:cfRule>
          <x14:cfRule type="cellIs" priority="255" operator="equal" id="{0AA668F3-08F2-48AD-824F-FDAAFE4C3390}">
            <xm:f>Auxiliar!$B$18</xm:f>
            <x14:dxf>
              <font>
                <b/>
                <i val="0"/>
                <color theme="0" tint="-0.499984740745262"/>
              </font>
              <fill>
                <patternFill>
                  <bgColor theme="0" tint="-4.9989318521683403E-2"/>
                </patternFill>
              </fill>
            </x14:dxf>
          </x14:cfRule>
          <x14:cfRule type="containsText" priority="256"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57"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58"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05" operator="containsText" id="{740F90F7-AB92-479A-85BF-13BAB76C3411}">
            <xm:f>NOT(ISERROR(SEARCH(Auxiliar!$B$21,I1133)))</xm:f>
            <xm:f>Auxiliar!$B$21</xm:f>
            <x14:dxf>
              <font>
                <b/>
                <i val="0"/>
                <color rgb="FFFFC000"/>
              </font>
              <fill>
                <patternFill>
                  <bgColor theme="9" tint="0.59996337778862885"/>
                </patternFill>
              </fill>
            </x14:dxf>
          </x14:cfRule>
          <x14:cfRule type="cellIs" priority="206" operator="equal" id="{88AE8B12-357A-4B8A-9319-781057D8ABD6}">
            <xm:f>Auxiliar!$B$24</xm:f>
            <x14:dxf>
              <font>
                <b/>
                <i val="0"/>
                <color theme="1"/>
              </font>
              <fill>
                <patternFill patternType="darkUp">
                  <bgColor theme="0"/>
                </patternFill>
              </fill>
            </x14:dxf>
          </x14:cfRule>
          <x14:cfRule type="cellIs" priority="207" operator="equal" id="{BC303029-A698-4297-8685-4F827375138C}">
            <xm:f>Auxiliar!$B$18</xm:f>
            <x14:dxf>
              <font>
                <b/>
                <i val="0"/>
                <color theme="0" tint="-0.499984740745262"/>
              </font>
              <fill>
                <patternFill>
                  <bgColor theme="0" tint="-4.9989318521683403E-2"/>
                </patternFill>
              </fill>
            </x14:dxf>
          </x14:cfRule>
          <x14:cfRule type="containsText" priority="208"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09"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10"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187" operator="containsText" id="{F48B2BF5-6845-4309-99E8-30933C9EE615}">
            <xm:f>NOT(ISERROR(SEARCH(Auxiliar!$B$21,I1199)))</xm:f>
            <xm:f>Auxiliar!$B$21</xm:f>
            <x14:dxf>
              <font>
                <b/>
                <i val="0"/>
                <color rgb="FFFFC000"/>
              </font>
              <fill>
                <patternFill>
                  <bgColor theme="9" tint="0.59996337778862885"/>
                </patternFill>
              </fill>
            </x14:dxf>
          </x14:cfRule>
          <x14:cfRule type="cellIs" priority="188" operator="equal" id="{13D25AAA-9E27-4596-8161-C1D8B229FB78}">
            <xm:f>Auxiliar!$B$24</xm:f>
            <x14:dxf>
              <font>
                <b/>
                <i val="0"/>
                <color theme="1"/>
              </font>
              <fill>
                <patternFill patternType="darkUp">
                  <bgColor theme="0"/>
                </patternFill>
              </fill>
            </x14:dxf>
          </x14:cfRule>
          <x14:cfRule type="cellIs" priority="189" operator="equal" id="{22B4EADE-6286-4A66-8996-D7CA931879E6}">
            <xm:f>Auxiliar!$B$18</xm:f>
            <x14:dxf>
              <font>
                <b/>
                <i val="0"/>
                <color theme="0" tint="-0.499984740745262"/>
              </font>
              <fill>
                <patternFill>
                  <bgColor theme="0" tint="-4.9989318521683403E-2"/>
                </patternFill>
              </fill>
            </x14:dxf>
          </x14:cfRule>
          <x14:cfRule type="containsText" priority="190"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191"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192"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181" operator="containsText" id="{5ED364A6-7788-43B4-ABBB-E3185B87783C}">
            <xm:f>NOT(ISERROR(SEARCH(Auxiliar!$B$21,I1289)))</xm:f>
            <xm:f>Auxiliar!$B$21</xm:f>
            <x14:dxf>
              <font>
                <b/>
                <i val="0"/>
                <color rgb="FFFFC000"/>
              </font>
              <fill>
                <patternFill>
                  <bgColor theme="9" tint="0.59996337778862885"/>
                </patternFill>
              </fill>
            </x14:dxf>
          </x14:cfRule>
          <x14:cfRule type="cellIs" priority="182" operator="equal" id="{CC216F48-AEAC-42B0-BAEF-B859E88448DD}">
            <xm:f>Auxiliar!$B$24</xm:f>
            <x14:dxf>
              <font>
                <b/>
                <i val="0"/>
                <color theme="1"/>
              </font>
              <fill>
                <patternFill patternType="darkUp">
                  <bgColor theme="0"/>
                </patternFill>
              </fill>
            </x14:dxf>
          </x14:cfRule>
          <x14:cfRule type="cellIs" priority="183" operator="equal" id="{23819E92-56C5-4D3E-B9E1-67FDD9E7882C}">
            <xm:f>Auxiliar!$B$18</xm:f>
            <x14:dxf>
              <font>
                <b/>
                <i val="0"/>
                <color theme="0" tint="-0.499984740745262"/>
              </font>
              <fill>
                <patternFill>
                  <bgColor theme="0" tint="-4.9989318521683403E-2"/>
                </patternFill>
              </fill>
            </x14:dxf>
          </x14:cfRule>
          <x14:cfRule type="containsText" priority="184"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185"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186"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787"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229" operator="containsText" id="{818B4E3F-A611-4A6A-A815-B804D1E3C747}">
            <xm:f>NOT(ISERROR(SEARCH(Auxiliar!$B$21,I1321)))</xm:f>
            <xm:f>Auxiliar!$B$21</xm:f>
            <x14:dxf>
              <font>
                <b/>
                <i val="0"/>
                <color rgb="FFFFC000"/>
              </font>
              <fill>
                <patternFill>
                  <bgColor theme="9" tint="0.59996337778862885"/>
                </patternFill>
              </fill>
            </x14:dxf>
          </x14:cfRule>
          <x14:cfRule type="cellIs" priority="230" operator="equal" id="{49F42230-2FF0-42CE-B047-38469DF4FF91}">
            <xm:f>Auxiliar!$B$24</xm:f>
            <x14:dxf>
              <font>
                <b/>
                <i val="0"/>
                <color theme="1"/>
              </font>
              <fill>
                <patternFill patternType="darkUp">
                  <bgColor theme="0"/>
                </patternFill>
              </fill>
            </x14:dxf>
          </x14:cfRule>
          <x14:cfRule type="cellIs" priority="231" operator="equal" id="{340814F4-4DC4-4851-925E-2EA110D79ECA}">
            <xm:f>Auxiliar!$B$18</xm:f>
            <x14:dxf>
              <font>
                <b/>
                <i val="0"/>
                <color theme="0" tint="-0.499984740745262"/>
              </font>
              <fill>
                <patternFill>
                  <bgColor theme="0" tint="-4.9989318521683403E-2"/>
                </patternFill>
              </fill>
            </x14:dxf>
          </x14:cfRule>
          <x14:cfRule type="containsText" priority="232"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33"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34"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43" operator="containsText" id="{EA64DC1C-861B-48F8-9621-E598024B99B0}">
            <xm:f>NOT(ISERROR(SEARCH(Auxiliar!$B$21,I1460)))</xm:f>
            <xm:f>Auxiliar!$B$21</xm:f>
            <x14:dxf>
              <font>
                <b/>
                <i val="0"/>
                <color rgb="FFFFC000"/>
              </font>
              <fill>
                <patternFill>
                  <bgColor theme="9" tint="0.59996337778862885"/>
                </patternFill>
              </fill>
            </x14:dxf>
          </x14:cfRule>
          <x14:cfRule type="cellIs" priority="644" operator="equal" id="{839A85C4-8947-4392-8D52-FE7821AB5714}">
            <xm:f>Auxiliar!$B$24</xm:f>
            <x14:dxf>
              <font>
                <b/>
                <i val="0"/>
                <color theme="1"/>
              </font>
              <fill>
                <patternFill patternType="darkUp">
                  <bgColor theme="0"/>
                </patternFill>
              </fill>
            </x14:dxf>
          </x14:cfRule>
          <x14:cfRule type="cellIs" priority="645" operator="equal" id="{AFCEA854-203F-4E0E-9E0B-A825AA0A5D6E}">
            <xm:f>Auxiliar!$B$18</xm:f>
            <x14:dxf>
              <font>
                <b/>
                <i val="0"/>
                <color theme="0" tint="-0.499984740745262"/>
              </font>
              <fill>
                <patternFill>
                  <bgColor theme="0" tint="-4.9989318521683403E-2"/>
                </patternFill>
              </fill>
            </x14:dxf>
          </x14:cfRule>
          <x14:cfRule type="containsText" priority="646"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47"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48"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37" operator="containsText" id="{22EE3303-E871-4FDC-B876-3AC40B4BB29E}">
            <xm:f>NOT(ISERROR(SEARCH(Auxiliar!$B$21,I9)))</xm:f>
            <xm:f>Auxiliar!$B$21</xm:f>
            <x14:dxf>
              <font>
                <b/>
                <i val="0"/>
                <color rgb="FFFFC000"/>
              </font>
              <fill>
                <patternFill>
                  <bgColor theme="9" tint="0.59996337778862885"/>
                </patternFill>
              </fill>
            </x14:dxf>
          </x14:cfRule>
          <x14:cfRule type="cellIs" priority="638" operator="equal" id="{A75C795E-F66D-4DC2-A9AF-15BDCED7DA25}">
            <xm:f>Auxiliar!$B$24</xm:f>
            <x14:dxf>
              <font>
                <b/>
                <i val="0"/>
                <color theme="1"/>
              </font>
              <fill>
                <patternFill patternType="darkUp">
                  <bgColor theme="0"/>
                </patternFill>
              </fill>
            </x14:dxf>
          </x14:cfRule>
          <x14:cfRule type="cellIs" priority="639" operator="equal" id="{68C7A1CE-73C7-4D91-A2AC-1493C4E277DD}">
            <xm:f>Auxiliar!$B$18</xm:f>
            <x14:dxf>
              <font>
                <b/>
                <i val="0"/>
                <color theme="0" tint="-0.499984740745262"/>
              </font>
              <fill>
                <patternFill>
                  <bgColor theme="0" tint="-4.9989318521683403E-2"/>
                </patternFill>
              </fill>
            </x14:dxf>
          </x14:cfRule>
          <x14:cfRule type="containsText" priority="64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4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42"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21" operator="containsText" id="{6928D489-0130-4A60-BE2B-1D9108B02454}">
            <xm:f>NOT(ISERROR(SEARCH(Auxiliar!$B$21,I194)))</xm:f>
            <xm:f>Auxiliar!$B$21</xm:f>
            <x14:dxf>
              <font>
                <b/>
                <i val="0"/>
                <color rgb="FFFFC000"/>
              </font>
              <fill>
                <patternFill>
                  <bgColor theme="9" tint="0.59996337778862885"/>
                </patternFill>
              </fill>
            </x14:dxf>
          </x14:cfRule>
          <x14:cfRule type="cellIs" priority="722" operator="equal" id="{E2F14AF0-878C-4184-86EE-1EC72D11FF82}">
            <xm:f>Auxiliar!$B$24</xm:f>
            <x14:dxf>
              <font>
                <b/>
                <i val="0"/>
                <color theme="1"/>
              </font>
              <fill>
                <patternFill patternType="darkUp">
                  <bgColor theme="0"/>
                </patternFill>
              </fill>
            </x14:dxf>
          </x14:cfRule>
          <x14:cfRule type="cellIs" priority="723" operator="equal" id="{662C2D77-73A6-422E-B043-D39190EAAFD3}">
            <xm:f>Auxiliar!$B$18</xm:f>
            <x14:dxf>
              <font>
                <b/>
                <i val="0"/>
                <color theme="0" tint="-0.499984740745262"/>
              </font>
              <fill>
                <patternFill>
                  <bgColor theme="0" tint="-4.9989318521683403E-2"/>
                </patternFill>
              </fill>
            </x14:dxf>
          </x14:cfRule>
          <x14:cfRule type="containsText" priority="724"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25"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26"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788" operator="equal" id="{461BEC2A-3AB6-4974-9160-0CC657CD83C0}">
            <xm:f>Auxiliar!$B$24</xm:f>
            <x14:dxf>
              <font>
                <b/>
                <i val="0"/>
                <color theme="1"/>
              </font>
              <fill>
                <patternFill patternType="darkUp">
                  <bgColor theme="0"/>
                </patternFill>
              </fill>
            </x14:dxf>
          </x14:cfRule>
          <x14:cfRule type="cellIs" priority="1255" operator="equal" id="{5CC18A3F-CC0C-4983-A19C-E91C49A3DB8A}">
            <xm:f>Auxiliar!$B$18</xm:f>
            <x14:dxf>
              <font>
                <b/>
                <i val="0"/>
                <color theme="0" tint="-0.499984740745262"/>
              </font>
              <fill>
                <patternFill>
                  <bgColor theme="0" tint="-4.9989318521683403E-2"/>
                </patternFill>
              </fill>
            </x14:dxf>
          </x14:cfRule>
          <x14:cfRule type="containsText" priority="1256"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57"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58"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I414:J804 I1423:J1459 I1392:J1419</xm:sqref>
        </x14:conditionalFormatting>
        <x14:conditionalFormatting xmlns:xm="http://schemas.microsoft.com/office/excel/2006/main">
          <x14:cfRule type="containsText" priority="613" operator="containsText" id="{B9BA2292-98F1-4845-8262-A781D9352444}">
            <xm:f>NOT(ISERROR(SEARCH(Auxiliar!$B$21,J191)))</xm:f>
            <xm:f>Auxiliar!$B$21</xm:f>
            <x14:dxf>
              <font>
                <b/>
                <i val="0"/>
                <color rgb="FFFFC000"/>
              </font>
              <fill>
                <patternFill>
                  <bgColor theme="9" tint="0.59996337778862885"/>
                </patternFill>
              </fill>
            </x14:dxf>
          </x14:cfRule>
          <x14:cfRule type="cellIs" priority="614" operator="equal" id="{D32B9961-C82B-426A-A975-2475FFC80C76}">
            <xm:f>Auxiliar!$B$24</xm:f>
            <x14:dxf>
              <font>
                <b/>
                <i val="0"/>
                <color theme="1"/>
              </font>
              <fill>
                <patternFill patternType="darkUp">
                  <bgColor theme="0"/>
                </patternFill>
              </fill>
            </x14:dxf>
          </x14:cfRule>
          <x14:cfRule type="cellIs" priority="615" operator="equal" id="{EE9F5D7D-A515-4B4F-859E-E804329C9CE0}">
            <xm:f>Auxiliar!$B$18</xm:f>
            <x14:dxf>
              <font>
                <b/>
                <i val="0"/>
                <color theme="0" tint="-0.499984740745262"/>
              </font>
              <fill>
                <patternFill>
                  <bgColor theme="0" tint="-4.9989318521683403E-2"/>
                </patternFill>
              </fill>
            </x14:dxf>
          </x14:cfRule>
          <x14:cfRule type="containsText" priority="616"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17"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18"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39" operator="containsText" id="{576165AC-18FE-49D8-90D0-249BF5B7AAD2}">
            <xm:f>NOT(ISERROR(SEARCH(Auxiliar!$B$21,J390)))</xm:f>
            <xm:f>Auxiliar!$B$21</xm:f>
            <x14:dxf>
              <font>
                <b/>
                <i val="0"/>
                <color rgb="FFFFC000"/>
              </font>
              <fill>
                <patternFill>
                  <bgColor theme="9" tint="0.59996337778862885"/>
                </patternFill>
              </fill>
            </x14:dxf>
          </x14:cfRule>
          <x14:cfRule type="cellIs" priority="740" operator="equal" id="{2BEF1854-999B-428C-B198-117A6D75B6CF}">
            <xm:f>Auxiliar!$B$24</xm:f>
            <x14:dxf>
              <font>
                <b/>
                <i val="0"/>
                <color theme="1"/>
              </font>
              <fill>
                <patternFill patternType="darkUp">
                  <bgColor theme="0"/>
                </patternFill>
              </fill>
            </x14:dxf>
          </x14:cfRule>
          <x14:cfRule type="cellIs" priority="741" operator="equal" id="{82150E9C-7DB3-4C92-B25A-09099C09088C}">
            <xm:f>Auxiliar!$B$18</xm:f>
            <x14:dxf>
              <font>
                <b/>
                <i val="0"/>
                <color theme="0" tint="-0.499984740745262"/>
              </font>
              <fill>
                <patternFill>
                  <bgColor theme="0" tint="-4.9989318521683403E-2"/>
                </patternFill>
              </fill>
            </x14:dxf>
          </x14:cfRule>
          <x14:cfRule type="containsText" priority="742"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43"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44"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75" operator="containsText" id="{DF181235-FA9E-40EA-A648-292B48022DA0}">
            <xm:f>NOT(ISERROR(SEARCH(Auxiliar!$B$21,I1420)))</xm:f>
            <xm:f>Auxiliar!$B$21</xm:f>
            <x14:dxf>
              <font>
                <b/>
                <i val="0"/>
                <color rgb="FFFFC000"/>
              </font>
              <fill>
                <patternFill>
                  <bgColor theme="9" tint="0.59996337778862885"/>
                </patternFill>
              </fill>
            </x14:dxf>
          </x14:cfRule>
          <x14:cfRule type="cellIs" priority="176" operator="equal" id="{9C7C6505-25DE-4647-8F2A-4962829050E1}">
            <xm:f>Auxiliar!$B$24</xm:f>
            <x14:dxf>
              <font>
                <b/>
                <i val="0"/>
                <color theme="1"/>
              </font>
              <fill>
                <patternFill patternType="darkUp">
                  <bgColor theme="0"/>
                </patternFill>
              </fill>
            </x14:dxf>
          </x14:cfRule>
          <x14:cfRule type="cellIs" priority="177" operator="equal" id="{3CFB144F-84F5-4773-AE43-EF621B2D2154}">
            <xm:f>Auxiliar!$B$18</xm:f>
            <x14:dxf>
              <font>
                <b/>
                <i val="0"/>
                <color theme="0" tint="-0.499984740745262"/>
              </font>
              <fill>
                <patternFill>
                  <bgColor theme="0" tint="-4.9989318521683403E-2"/>
                </patternFill>
              </fill>
            </x14:dxf>
          </x14:cfRule>
          <x14:cfRule type="containsText" priority="178" operator="containsText" id="{0A42159F-6CA5-47EA-8D39-3C8D3A129086}">
            <xm:f>NOT(ISERROR(SEARCH(Auxiliar!$B$22,I1420)))</xm:f>
            <xm:f>Auxiliar!$B$22</xm:f>
            <x14:dxf>
              <font>
                <b/>
                <i val="0"/>
                <color rgb="FFC00000"/>
              </font>
              <fill>
                <patternFill>
                  <bgColor theme="4" tint="0.79998168889431442"/>
                </patternFill>
              </fill>
            </x14:dxf>
          </x14:cfRule>
          <x14:cfRule type="containsText" priority="179" operator="containsText" id="{5A58F008-0DFB-4FE4-B344-E402BDA2C837}">
            <xm:f>NOT(ISERROR(SEARCH(Auxiliar!$B$19,I1420)))</xm:f>
            <xm:f>Auxiliar!$B$19</xm:f>
            <x14:dxf>
              <font>
                <b/>
                <i val="0"/>
                <color theme="9" tint="-0.499984740745262"/>
              </font>
              <fill>
                <patternFill>
                  <bgColor theme="9" tint="0.79998168889431442"/>
                </patternFill>
              </fill>
            </x14:dxf>
          </x14:cfRule>
          <x14:cfRule type="containsText" priority="180" operator="containsText" id="{DF74522A-C0D5-4C88-9207-BE75C4C8DE4E}">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69" operator="containsText" id="{823160F8-9997-4794-9B4E-C576A6FE222D}">
            <xm:f>NOT(ISERROR(SEARCH(Auxiliar!$B$21,I390)))</xm:f>
            <xm:f>Auxiliar!$B$21</xm:f>
            <x14:dxf>
              <font>
                <b/>
                <i val="0"/>
                <color rgb="FFFFC000"/>
              </font>
              <fill>
                <patternFill>
                  <bgColor theme="9" tint="0.59996337778862885"/>
                </patternFill>
              </fill>
            </x14:dxf>
          </x14:cfRule>
          <x14:cfRule type="cellIs" priority="170" operator="equal" id="{C1156D3F-4924-4518-B96A-5B9AA8B5BE50}">
            <xm:f>Auxiliar!$B$24</xm:f>
            <x14:dxf>
              <font>
                <b/>
                <i val="0"/>
                <color theme="1"/>
              </font>
              <fill>
                <patternFill patternType="darkUp">
                  <bgColor theme="0"/>
                </patternFill>
              </fill>
            </x14:dxf>
          </x14:cfRule>
          <x14:cfRule type="cellIs" priority="171" operator="equal" id="{BD765773-A292-448A-90DA-70399168E638}">
            <xm:f>Auxiliar!$B$18</xm:f>
            <x14:dxf>
              <font>
                <b/>
                <i val="0"/>
                <color theme="0" tint="-0.499984740745262"/>
              </font>
              <fill>
                <patternFill>
                  <bgColor theme="0" tint="-4.9989318521683403E-2"/>
                </patternFill>
              </fill>
            </x14:dxf>
          </x14:cfRule>
          <x14:cfRule type="containsText" priority="172"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73"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74" operator="containsText" id="{83ADEF97-2D81-44D6-8483-B2AB1130B3D0}">
            <xm:f>NOT(ISERROR(SEARCH(Auxiliar!$B$16,I390)))</xm:f>
            <xm:f>Auxiliar!$B$16</xm:f>
            <x14:dxf>
              <font>
                <b/>
                <i val="0"/>
                <color theme="7"/>
              </font>
              <fill>
                <patternFill>
                  <bgColor theme="7" tint="0.79998168889431442"/>
                </patternFill>
              </fill>
            </x14:dxf>
          </x14:cfRule>
          <xm:sqref>I390:I407 I413</xm:sqref>
        </x14:conditionalFormatting>
        <x14:conditionalFormatting xmlns:xm="http://schemas.microsoft.com/office/excel/2006/main">
          <x14:cfRule type="containsText" priority="163" operator="containsText" id="{2C9A8ECC-40D2-4BF8-9013-94EF4681BA37}">
            <xm:f>NOT(ISERROR(SEARCH(Auxiliar!$B$21,I1193)))</xm:f>
            <xm:f>Auxiliar!$B$21</xm:f>
            <x14:dxf>
              <font>
                <b/>
                <i val="0"/>
                <color rgb="FFFFC000"/>
              </font>
              <fill>
                <patternFill>
                  <bgColor theme="9" tint="0.59996337778862885"/>
                </patternFill>
              </fill>
            </x14:dxf>
          </x14:cfRule>
          <x14:cfRule type="cellIs" priority="164" operator="equal" id="{59A9144D-6CCA-4414-829D-6E250F57C9C1}">
            <xm:f>Auxiliar!$B$24</xm:f>
            <x14:dxf>
              <font>
                <b/>
                <i val="0"/>
                <color theme="1"/>
              </font>
              <fill>
                <patternFill patternType="darkUp">
                  <bgColor theme="0"/>
                </patternFill>
              </fill>
            </x14:dxf>
          </x14:cfRule>
          <x14:cfRule type="cellIs" priority="165" operator="equal" id="{E214B4E9-46D7-4587-9E1C-3B66F94D73F5}">
            <xm:f>Auxiliar!$B$18</xm:f>
            <x14:dxf>
              <font>
                <b/>
                <i val="0"/>
                <color theme="0" tint="-0.499984740745262"/>
              </font>
              <fill>
                <patternFill>
                  <bgColor theme="0" tint="-4.9989318521683403E-2"/>
                </patternFill>
              </fill>
            </x14:dxf>
          </x14:cfRule>
          <x14:cfRule type="containsText" priority="166"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67"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68"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57" operator="containsText" id="{95C8CC35-B63E-4B6E-978B-89C7B3BB0D0F}">
            <xm:f>NOT(ISERROR(SEARCH(Auxiliar!$B$21,I1464)))</xm:f>
            <xm:f>Auxiliar!$B$21</xm:f>
            <x14:dxf>
              <font>
                <b/>
                <i val="0"/>
                <color rgb="FFFFC000"/>
              </font>
              <fill>
                <patternFill>
                  <bgColor theme="9" tint="0.59996337778862885"/>
                </patternFill>
              </fill>
            </x14:dxf>
          </x14:cfRule>
          <x14:cfRule type="cellIs" priority="158" operator="equal" id="{2CF4FBE2-212B-4B8E-A4FF-359DE385C765}">
            <xm:f>Auxiliar!$B$24</xm:f>
            <x14:dxf>
              <font>
                <b/>
                <i val="0"/>
                <color theme="1"/>
              </font>
              <fill>
                <patternFill patternType="darkUp">
                  <bgColor theme="0"/>
                </patternFill>
              </fill>
            </x14:dxf>
          </x14:cfRule>
          <x14:cfRule type="cellIs" priority="159" operator="equal" id="{DFAEB673-DE6E-4608-B609-F2F737B60C9A}">
            <xm:f>Auxiliar!$B$18</xm:f>
            <x14:dxf>
              <font>
                <b/>
                <i val="0"/>
                <color theme="0" tint="-0.499984740745262"/>
              </font>
              <fill>
                <patternFill>
                  <bgColor theme="0" tint="-4.9989318521683403E-2"/>
                </patternFill>
              </fill>
            </x14:dxf>
          </x14:cfRule>
          <x14:cfRule type="containsText" priority="160"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61"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62"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39" operator="containsText" id="{670F9BD4-6E72-4C8A-9DE6-6D760ABE2EF2}">
            <xm:f>NOT(ISERROR(SEARCH(Auxiliar!$B$21,I1271)))</xm:f>
            <xm:f>Auxiliar!$B$21</xm:f>
            <x14:dxf>
              <font>
                <b/>
                <i val="0"/>
                <color rgb="FFFFC000"/>
              </font>
              <fill>
                <patternFill>
                  <bgColor theme="9" tint="0.59996337778862885"/>
                </patternFill>
              </fill>
            </x14:dxf>
          </x14:cfRule>
          <x14:cfRule type="cellIs" priority="140" operator="equal" id="{A21A7634-FA0B-4602-AFC1-02F4105C6810}">
            <xm:f>Auxiliar!$B$24</xm:f>
            <x14:dxf>
              <font>
                <b/>
                <i val="0"/>
                <color theme="1"/>
              </font>
              <fill>
                <patternFill patternType="darkUp">
                  <bgColor theme="0"/>
                </patternFill>
              </fill>
            </x14:dxf>
          </x14:cfRule>
          <x14:cfRule type="cellIs" priority="141" operator="equal" id="{6FE9802C-F381-43CA-A21F-54F14A81F8B2}">
            <xm:f>Auxiliar!$B$18</xm:f>
            <x14:dxf>
              <font>
                <b/>
                <i val="0"/>
                <color theme="0" tint="-0.499984740745262"/>
              </font>
              <fill>
                <patternFill>
                  <bgColor theme="0" tint="-4.9989318521683403E-2"/>
                </patternFill>
              </fill>
            </x14:dxf>
          </x14:cfRule>
          <x14:cfRule type="containsText" priority="142"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43"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44"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33" operator="containsText" id="{6142BEC0-530B-491C-A9B0-54D3FDEFA333}">
            <xm:f>NOT(ISERROR(SEARCH(Auxiliar!$B$21,I1272)))</xm:f>
            <xm:f>Auxiliar!$B$21</xm:f>
            <x14:dxf>
              <font>
                <b/>
                <i val="0"/>
                <color rgb="FFFFC000"/>
              </font>
              <fill>
                <patternFill>
                  <bgColor theme="9" tint="0.59996337778862885"/>
                </patternFill>
              </fill>
            </x14:dxf>
          </x14:cfRule>
          <x14:cfRule type="cellIs" priority="134" operator="equal" id="{358F6D0A-F9F7-465B-A1B9-1F10C2092035}">
            <xm:f>Auxiliar!$B$24</xm:f>
            <x14:dxf>
              <font>
                <b/>
                <i val="0"/>
                <color theme="1"/>
              </font>
              <fill>
                <patternFill patternType="darkUp">
                  <bgColor theme="0"/>
                </patternFill>
              </fill>
            </x14:dxf>
          </x14:cfRule>
          <x14:cfRule type="cellIs" priority="135" operator="equal" id="{0F0BF42A-65A3-4A1C-A9D9-C3D22AEF3526}">
            <xm:f>Auxiliar!$B$18</xm:f>
            <x14:dxf>
              <font>
                <b/>
                <i val="0"/>
                <color theme="0" tint="-0.499984740745262"/>
              </font>
              <fill>
                <patternFill>
                  <bgColor theme="0" tint="-4.9989318521683403E-2"/>
                </patternFill>
              </fill>
            </x14:dxf>
          </x14:cfRule>
          <x14:cfRule type="containsText" priority="136"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37"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38"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27" operator="containsText" id="{41D9C7DC-0343-4880-92C3-E9E5E74035D0}">
            <xm:f>NOT(ISERROR(SEARCH(Auxiliar!$B$21,I1488)))</xm:f>
            <xm:f>Auxiliar!$B$21</xm:f>
            <x14:dxf>
              <font>
                <b/>
                <i val="0"/>
                <color rgb="FFFFC000"/>
              </font>
              <fill>
                <patternFill>
                  <bgColor theme="9" tint="0.59996337778862885"/>
                </patternFill>
              </fill>
            </x14:dxf>
          </x14:cfRule>
          <x14:cfRule type="cellIs" priority="128" operator="equal" id="{1312F701-7E73-45EE-AB28-2D9E99DC8EF2}">
            <xm:f>Auxiliar!$B$24</xm:f>
            <x14:dxf>
              <font>
                <b/>
                <i val="0"/>
                <color theme="1"/>
              </font>
              <fill>
                <patternFill patternType="darkUp">
                  <bgColor theme="0"/>
                </patternFill>
              </fill>
            </x14:dxf>
          </x14:cfRule>
          <x14:cfRule type="cellIs" priority="129" operator="equal" id="{D2E876AF-8F02-4700-85A4-0261345B6B8E}">
            <xm:f>Auxiliar!$B$18</xm:f>
            <x14:dxf>
              <font>
                <b/>
                <i val="0"/>
                <color theme="0" tint="-0.499984740745262"/>
              </font>
              <fill>
                <patternFill>
                  <bgColor theme="0" tint="-4.9989318521683403E-2"/>
                </patternFill>
              </fill>
            </x14:dxf>
          </x14:cfRule>
          <x14:cfRule type="containsText" priority="130"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31"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32"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21" operator="containsText" id="{2894A03C-3E5F-44BE-8B6E-722E39F9710E}">
            <xm:f>NOT(ISERROR(SEARCH(Auxiliar!$B$21,I1463)))</xm:f>
            <xm:f>Auxiliar!$B$21</xm:f>
            <x14:dxf>
              <font>
                <b/>
                <i val="0"/>
                <color rgb="FFFFC000"/>
              </font>
              <fill>
                <patternFill>
                  <bgColor theme="9" tint="0.59996337778862885"/>
                </patternFill>
              </fill>
            </x14:dxf>
          </x14:cfRule>
          <x14:cfRule type="cellIs" priority="122" operator="equal" id="{EB5D0CD7-AEBB-44EB-B1FA-46E6B515B772}">
            <xm:f>Auxiliar!$B$24</xm:f>
            <x14:dxf>
              <font>
                <b/>
                <i val="0"/>
                <color theme="1"/>
              </font>
              <fill>
                <patternFill patternType="darkUp">
                  <bgColor theme="0"/>
                </patternFill>
              </fill>
            </x14:dxf>
          </x14:cfRule>
          <x14:cfRule type="cellIs" priority="123" operator="equal" id="{71888C3E-3039-46F4-B52E-38A7B2E9EBE7}">
            <xm:f>Auxiliar!$B$18</xm:f>
            <x14:dxf>
              <font>
                <b/>
                <i val="0"/>
                <color theme="0" tint="-0.499984740745262"/>
              </font>
              <fill>
                <patternFill>
                  <bgColor theme="0" tint="-4.9989318521683403E-2"/>
                </patternFill>
              </fill>
            </x14:dxf>
          </x14:cfRule>
          <x14:cfRule type="containsText" priority="124"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25"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26"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97" operator="containsText" id="{E3BB2710-C741-4DF5-8D19-1B415C19CE71}">
            <xm:f>NOT(ISERROR(SEARCH(Auxiliar!$B$21,I408)))</xm:f>
            <xm:f>Auxiliar!$B$21</xm:f>
            <x14:dxf>
              <font>
                <b/>
                <i val="0"/>
                <color rgb="FFFFC000"/>
              </font>
              <fill>
                <patternFill>
                  <bgColor theme="9" tint="0.59996337778862885"/>
                </patternFill>
              </fill>
            </x14:dxf>
          </x14:cfRule>
          <x14:cfRule type="cellIs" priority="98" operator="equal" id="{0B3DA3C8-A704-493D-B3A5-F25FEE5B8F3C}">
            <xm:f>Auxiliar!$B$24</xm:f>
            <x14:dxf>
              <font>
                <b/>
                <i val="0"/>
                <color theme="1"/>
              </font>
              <fill>
                <patternFill patternType="darkUp">
                  <bgColor theme="0"/>
                </patternFill>
              </fill>
            </x14:dxf>
          </x14:cfRule>
          <x14:cfRule type="cellIs" priority="99" operator="equal" id="{126B789A-B4AA-48A3-9BA6-9AEFBDA12DBB}">
            <xm:f>Auxiliar!$B$18</xm:f>
            <x14:dxf>
              <font>
                <b/>
                <i val="0"/>
                <color theme="0" tint="-0.499984740745262"/>
              </font>
              <fill>
                <patternFill>
                  <bgColor theme="0" tint="-4.9989318521683403E-2"/>
                </patternFill>
              </fill>
            </x14:dxf>
          </x14:cfRule>
          <x14:cfRule type="containsText" priority="100"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01"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02"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03" operator="containsText" id="{68B7879D-8888-41E7-95DE-17E280293E9E}">
            <xm:f>NOT(ISERROR(SEARCH(Auxiliar!$B$21,J408)))</xm:f>
            <xm:f>Auxiliar!$B$21</xm:f>
            <x14:dxf>
              <font>
                <b/>
                <i val="0"/>
                <color rgb="FFFFC000"/>
              </font>
              <fill>
                <patternFill>
                  <bgColor theme="9" tint="0.59996337778862885"/>
                </patternFill>
              </fill>
            </x14:dxf>
          </x14:cfRule>
          <x14:cfRule type="cellIs" priority="104" operator="equal" id="{E7918B5B-09E9-4D9E-8DEF-22B78ADEF4EC}">
            <xm:f>Auxiliar!$B$24</xm:f>
            <x14:dxf>
              <font>
                <b/>
                <i val="0"/>
                <color theme="1"/>
              </font>
              <fill>
                <patternFill patternType="darkUp">
                  <bgColor theme="0"/>
                </patternFill>
              </fill>
            </x14:dxf>
          </x14:cfRule>
          <x14:cfRule type="cellIs" priority="105" operator="equal" id="{C9734D25-1591-44F4-B84A-F9635F7E3A1E}">
            <xm:f>Auxiliar!$B$18</xm:f>
            <x14:dxf>
              <font>
                <b/>
                <i val="0"/>
                <color theme="0" tint="-0.499984740745262"/>
              </font>
              <fill>
                <patternFill>
                  <bgColor theme="0" tint="-4.9989318521683403E-2"/>
                </patternFill>
              </fill>
            </x14:dxf>
          </x14:cfRule>
          <x14:cfRule type="containsText" priority="106"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07"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08"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91" operator="containsText" id="{053ADE2A-33DC-4D47-87A0-A43E990FCFE0}">
            <xm:f>NOT(ISERROR(SEARCH(Auxiliar!$B$21,I1220)))</xm:f>
            <xm:f>Auxiliar!$B$21</xm:f>
            <x14:dxf>
              <font>
                <b/>
                <i val="0"/>
                <color rgb="FFFFC000"/>
              </font>
              <fill>
                <patternFill>
                  <bgColor theme="9" tint="0.59996337778862885"/>
                </patternFill>
              </fill>
            </x14:dxf>
          </x14:cfRule>
          <x14:cfRule type="cellIs" priority="92" operator="equal" id="{161CC153-EC49-49E2-992A-09D95CA921AB}">
            <xm:f>Auxiliar!$B$24</xm:f>
            <x14:dxf>
              <font>
                <b/>
                <i val="0"/>
                <color theme="1"/>
              </font>
              <fill>
                <patternFill patternType="darkUp">
                  <bgColor theme="0"/>
                </patternFill>
              </fill>
            </x14:dxf>
          </x14:cfRule>
          <x14:cfRule type="cellIs" priority="93" operator="equal" id="{36936196-4C4F-4C1E-AE27-5A3FB5998847}">
            <xm:f>Auxiliar!$B$18</xm:f>
            <x14:dxf>
              <font>
                <b/>
                <i val="0"/>
                <color theme="0" tint="-0.499984740745262"/>
              </font>
              <fill>
                <patternFill>
                  <bgColor theme="0" tint="-4.9989318521683403E-2"/>
                </patternFill>
              </fill>
            </x14:dxf>
          </x14:cfRule>
          <x14:cfRule type="containsText" priority="94"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95"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96"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85" operator="containsText" id="{92CEDF85-910A-4567-8051-8D6C208B7E44}">
            <xm:f>NOT(ISERROR(SEARCH(Auxiliar!$B$21,I222)))</xm:f>
            <xm:f>Auxiliar!$B$21</xm:f>
            <x14:dxf>
              <font>
                <b/>
                <i val="0"/>
                <color rgb="FFFFC000"/>
              </font>
              <fill>
                <patternFill>
                  <bgColor theme="9" tint="0.59996337778862885"/>
                </patternFill>
              </fill>
            </x14:dxf>
          </x14:cfRule>
          <x14:cfRule type="cellIs" priority="86" operator="equal" id="{65A65C1D-2123-4567-8E89-68E0C9FC5D8E}">
            <xm:f>Auxiliar!$B$24</xm:f>
            <x14:dxf>
              <font>
                <b/>
                <i val="0"/>
                <color theme="1"/>
              </font>
              <fill>
                <patternFill patternType="darkUp">
                  <bgColor theme="0"/>
                </patternFill>
              </fill>
            </x14:dxf>
          </x14:cfRule>
          <x14:cfRule type="cellIs" priority="87" operator="equal" id="{9F5577E8-AA9A-4851-BA91-7746AF8EC79B}">
            <xm:f>Auxiliar!$B$18</xm:f>
            <x14:dxf>
              <font>
                <b/>
                <i val="0"/>
                <color theme="0" tint="-0.499984740745262"/>
              </font>
              <fill>
                <patternFill>
                  <bgColor theme="0" tint="-4.9989318521683403E-2"/>
                </patternFill>
              </fill>
            </x14:dxf>
          </x14:cfRule>
          <x14:cfRule type="containsText" priority="88" operator="containsText" id="{89D4649B-B088-4553-B06A-575C5B1C5943}">
            <xm:f>NOT(ISERROR(SEARCH(Auxiliar!$B$22,I222)))</xm:f>
            <xm:f>Auxiliar!$B$22</xm:f>
            <x14:dxf>
              <font>
                <b/>
                <i val="0"/>
                <color rgb="FFC00000"/>
              </font>
              <fill>
                <patternFill>
                  <bgColor theme="4" tint="0.79998168889431442"/>
                </patternFill>
              </fill>
            </x14:dxf>
          </x14:cfRule>
          <x14:cfRule type="containsText" priority="89" operator="containsText" id="{4DBA64CA-C77F-4DFC-A4EE-A74D4ED8108D}">
            <xm:f>NOT(ISERROR(SEARCH(Auxiliar!$B$19,I222)))</xm:f>
            <xm:f>Auxiliar!$B$19</xm:f>
            <x14:dxf>
              <font>
                <b/>
                <i val="0"/>
                <color theme="9" tint="-0.499984740745262"/>
              </font>
              <fill>
                <patternFill>
                  <bgColor theme="9" tint="0.79998168889431442"/>
                </patternFill>
              </fill>
            </x14:dxf>
          </x14:cfRule>
          <x14:cfRule type="containsText" priority="90" operator="containsText" id="{805CE944-C556-4D58-821E-CF7AB752C2B1}">
            <xm:f>NOT(ISERROR(SEARCH(Auxiliar!$B$16,I222)))</xm:f>
            <xm:f>Auxiliar!$B$16</xm:f>
            <x14:dxf>
              <font>
                <b/>
                <i val="0"/>
                <color theme="7"/>
              </font>
              <fill>
                <patternFill>
                  <bgColor theme="7" tint="0.79998168889431442"/>
                </patternFill>
              </fill>
            </x14:dxf>
          </x14:cfRule>
          <xm:sqref>I222:I224 I243:I245 I288:I290 I315:I317</xm:sqref>
        </x14:conditionalFormatting>
        <x14:conditionalFormatting xmlns:xm="http://schemas.microsoft.com/office/excel/2006/main">
          <x14:cfRule type="containsText" priority="79" operator="containsText" id="{6FB7D112-B12F-4AE2-93DD-0F30CE110E56}">
            <xm:f>NOT(ISERROR(SEARCH(Auxiliar!$B$21,I411)))</xm:f>
            <xm:f>Auxiliar!$B$21</xm:f>
            <x14:dxf>
              <font>
                <b/>
                <i val="0"/>
                <color rgb="FFFFC000"/>
              </font>
              <fill>
                <patternFill>
                  <bgColor theme="9" tint="0.59996337778862885"/>
                </patternFill>
              </fill>
            </x14:dxf>
          </x14:cfRule>
          <x14:cfRule type="cellIs" priority="80" operator="equal" id="{DC888E31-0285-4C20-A9FC-5A79559F296D}">
            <xm:f>Auxiliar!$B$24</xm:f>
            <x14:dxf>
              <font>
                <b/>
                <i val="0"/>
                <color theme="1"/>
              </font>
              <fill>
                <patternFill patternType="darkUp">
                  <bgColor theme="0"/>
                </patternFill>
              </fill>
            </x14:dxf>
          </x14:cfRule>
          <x14:cfRule type="cellIs" priority="81" operator="equal" id="{44F9F159-C255-44EB-B8B0-61D645D04B58}">
            <xm:f>Auxiliar!$B$18</xm:f>
            <x14:dxf>
              <font>
                <b/>
                <i val="0"/>
                <color theme="0" tint="-0.499984740745262"/>
              </font>
              <fill>
                <patternFill>
                  <bgColor theme="0" tint="-4.9989318521683403E-2"/>
                </patternFill>
              </fill>
            </x14:dxf>
          </x14:cfRule>
          <x14:cfRule type="containsText" priority="82"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83"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84"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67" operator="containsText" id="{50C522BF-F6F7-44FD-8CEC-8FB5D916C406}">
            <xm:f>NOT(ISERROR(SEARCH(Auxiliar!$B$21,I412)))</xm:f>
            <xm:f>Auxiliar!$B$21</xm:f>
            <x14:dxf>
              <font>
                <b/>
                <i val="0"/>
                <color rgb="FFFFC000"/>
              </font>
              <fill>
                <patternFill>
                  <bgColor theme="9" tint="0.59996337778862885"/>
                </patternFill>
              </fill>
            </x14:dxf>
          </x14:cfRule>
          <x14:cfRule type="cellIs" priority="68" operator="equal" id="{F2437A1C-1A99-42F4-9D00-73B41C998897}">
            <xm:f>Auxiliar!$B$24</xm:f>
            <x14:dxf>
              <font>
                <b/>
                <i val="0"/>
                <color theme="1"/>
              </font>
              <fill>
                <patternFill patternType="darkUp">
                  <bgColor theme="0"/>
                </patternFill>
              </fill>
            </x14:dxf>
          </x14:cfRule>
          <x14:cfRule type="cellIs" priority="69" operator="equal" id="{E11FD474-AA65-4DC2-8ACF-DA0E7122C3D0}">
            <xm:f>Auxiliar!$B$18</xm:f>
            <x14:dxf>
              <font>
                <b/>
                <i val="0"/>
                <color theme="0" tint="-0.499984740745262"/>
              </font>
              <fill>
                <patternFill>
                  <bgColor theme="0" tint="-4.9989318521683403E-2"/>
                </patternFill>
              </fill>
            </x14:dxf>
          </x14:cfRule>
          <x14:cfRule type="containsText" priority="70" operator="containsText" id="{C8F8C257-BDA7-467D-9787-5F535CBE646C}">
            <xm:f>NOT(ISERROR(SEARCH(Auxiliar!$B$22,I412)))</xm:f>
            <xm:f>Auxiliar!$B$22</xm:f>
            <x14:dxf>
              <font>
                <b/>
                <i val="0"/>
                <color rgb="FFC00000"/>
              </font>
              <fill>
                <patternFill>
                  <bgColor theme="4" tint="0.79998168889431442"/>
                </patternFill>
              </fill>
            </x14:dxf>
          </x14:cfRule>
          <x14:cfRule type="containsText" priority="71" operator="containsText" id="{1495CAAE-DC7C-4423-B530-A09CDC564B3F}">
            <xm:f>NOT(ISERROR(SEARCH(Auxiliar!$B$19,I412)))</xm:f>
            <xm:f>Auxiliar!$B$19</xm:f>
            <x14:dxf>
              <font>
                <b/>
                <i val="0"/>
                <color theme="9" tint="-0.499984740745262"/>
              </font>
              <fill>
                <patternFill>
                  <bgColor theme="9" tint="0.79998168889431442"/>
                </patternFill>
              </fill>
            </x14:dxf>
          </x14:cfRule>
          <x14:cfRule type="containsText" priority="72" operator="containsText" id="{5030CBBC-EBDB-40F6-8462-5E4CCC99DE57}">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61"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62" operator="equal" id="{76582525-4532-4825-BBF1-E67A9D75C9D5}">
            <xm:f>Auxiliar!$B$24</xm:f>
            <x14:dxf>
              <font>
                <b/>
                <i val="0"/>
                <color theme="1"/>
              </font>
              <fill>
                <patternFill patternType="darkUp">
                  <bgColor theme="0"/>
                </patternFill>
              </fill>
            </x14:dxf>
          </x14:cfRule>
          <x14:cfRule type="cellIs" priority="63" operator="equal" id="{93C49E19-F144-4F91-BF43-40521F41D17C}">
            <xm:f>Auxiliar!$B$18</xm:f>
            <x14:dxf>
              <font>
                <b/>
                <i val="0"/>
                <color theme="0" tint="-0.499984740745262"/>
              </font>
              <fill>
                <patternFill>
                  <bgColor theme="0" tint="-4.9989318521683403E-2"/>
                </patternFill>
              </fill>
            </x14:dxf>
          </x14:cfRule>
          <x14:cfRule type="containsText" priority="64"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65"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66"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55"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56" operator="equal" id="{A23AEDE7-80C2-459D-94A3-CF50BC8E067F}">
            <xm:f>Auxiliar!$B$24</xm:f>
            <x14:dxf>
              <font>
                <b/>
                <i val="0"/>
                <color theme="1"/>
              </font>
              <fill>
                <patternFill patternType="darkUp">
                  <bgColor theme="0"/>
                </patternFill>
              </fill>
            </x14:dxf>
          </x14:cfRule>
          <x14:cfRule type="cellIs" priority="57" operator="equal" id="{BD63F02A-7953-4EFD-A25E-5F5A4519C878}">
            <xm:f>Auxiliar!$B$18</xm:f>
            <x14:dxf>
              <font>
                <b/>
                <i val="0"/>
                <color theme="0" tint="-0.499984740745262"/>
              </font>
              <fill>
                <patternFill>
                  <bgColor theme="0" tint="-4.9989318521683403E-2"/>
                </patternFill>
              </fill>
            </x14:dxf>
          </x14:cfRule>
          <x14:cfRule type="containsText" priority="58"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59"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60"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49"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50" operator="equal" id="{E65463CC-CED3-418A-850B-2AEC62B95131}">
            <xm:f>Auxiliar!$B$24</xm:f>
            <x14:dxf>
              <font>
                <b/>
                <i val="0"/>
                <color theme="1"/>
              </font>
              <fill>
                <patternFill patternType="darkUp">
                  <bgColor theme="0"/>
                </patternFill>
              </fill>
            </x14:dxf>
          </x14:cfRule>
          <x14:cfRule type="cellIs" priority="51" operator="equal" id="{BFBBF7BF-D3FA-4006-A560-667BD910E543}">
            <xm:f>Auxiliar!$B$18</xm:f>
            <x14:dxf>
              <font>
                <b/>
                <i val="0"/>
                <color theme="0" tint="-0.499984740745262"/>
              </font>
              <fill>
                <patternFill>
                  <bgColor theme="0" tint="-4.9989318521683403E-2"/>
                </patternFill>
              </fill>
            </x14:dxf>
          </x14:cfRule>
          <x14:cfRule type="containsText" priority="52"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53"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54"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43" operator="containsText" id="{EF67F8C9-E09E-4FD8-BD07-0479223BE0A6}">
            <xm:f>NOT(ISERROR(SEARCH(Auxiliar!$B$21,I1262)))</xm:f>
            <xm:f>Auxiliar!$B$21</xm:f>
            <x14:dxf>
              <font>
                <b/>
                <i val="0"/>
                <color rgb="FFFFC000"/>
              </font>
              <fill>
                <patternFill>
                  <bgColor theme="9" tint="0.59996337778862885"/>
                </patternFill>
              </fill>
            </x14:dxf>
          </x14:cfRule>
          <x14:cfRule type="cellIs" priority="44" operator="equal" id="{6ACC69D9-7292-4B8D-BC8D-55E6557D51DB}">
            <xm:f>Auxiliar!$B$24</xm:f>
            <x14:dxf>
              <font>
                <b/>
                <i val="0"/>
                <color theme="1"/>
              </font>
              <fill>
                <patternFill patternType="darkUp">
                  <bgColor theme="0"/>
                </patternFill>
              </fill>
            </x14:dxf>
          </x14:cfRule>
          <x14:cfRule type="cellIs" priority="45" operator="equal" id="{45D65AB3-B34E-494F-B43A-44EB6067A014}">
            <xm:f>Auxiliar!$B$18</xm:f>
            <x14:dxf>
              <font>
                <b/>
                <i val="0"/>
                <color theme="0" tint="-0.499984740745262"/>
              </font>
              <fill>
                <patternFill>
                  <bgColor theme="0" tint="-4.9989318521683403E-2"/>
                </patternFill>
              </fill>
            </x14:dxf>
          </x14:cfRule>
          <x14:cfRule type="containsText" priority="46"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47"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48"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37" operator="containsText" id="{090911DD-7AF7-44CB-9E43-4EBE82C9EF87}">
            <xm:f>NOT(ISERROR(SEARCH(Auxiliar!$B$21,I1263)))</xm:f>
            <xm:f>Auxiliar!$B$21</xm:f>
            <x14:dxf>
              <font>
                <b/>
                <i val="0"/>
                <color rgb="FFFFC000"/>
              </font>
              <fill>
                <patternFill>
                  <bgColor theme="9" tint="0.59996337778862885"/>
                </patternFill>
              </fill>
            </x14:dxf>
          </x14:cfRule>
          <x14:cfRule type="cellIs" priority="38" operator="equal" id="{90B49AF7-0795-46D3-A253-BE81547F04BE}">
            <xm:f>Auxiliar!$B$24</xm:f>
            <x14:dxf>
              <font>
                <b/>
                <i val="0"/>
                <color theme="1"/>
              </font>
              <fill>
                <patternFill patternType="darkUp">
                  <bgColor theme="0"/>
                </patternFill>
              </fill>
            </x14:dxf>
          </x14:cfRule>
          <x14:cfRule type="cellIs" priority="39" operator="equal" id="{88C3A3FB-9C9C-40A1-9659-767FB0EAD0D6}">
            <xm:f>Auxiliar!$B$18</xm:f>
            <x14:dxf>
              <font>
                <b/>
                <i val="0"/>
                <color theme="0" tint="-0.499984740745262"/>
              </font>
              <fill>
                <patternFill>
                  <bgColor theme="0" tint="-4.9989318521683403E-2"/>
                </patternFill>
              </fill>
            </x14:dxf>
          </x14:cfRule>
          <x14:cfRule type="containsText" priority="40"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41"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42"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31" operator="containsText" id="{C06708D4-9C1B-40DA-B5F0-4CF4E517971E}">
            <xm:f>NOT(ISERROR(SEARCH(Auxiliar!$B$21,I1264)))</xm:f>
            <xm:f>Auxiliar!$B$21</xm:f>
            <x14:dxf>
              <font>
                <b/>
                <i val="0"/>
                <color rgb="FFFFC000"/>
              </font>
              <fill>
                <patternFill>
                  <bgColor theme="9" tint="0.59996337778862885"/>
                </patternFill>
              </fill>
            </x14:dxf>
          </x14:cfRule>
          <x14:cfRule type="cellIs" priority="32" operator="equal" id="{06F754F2-1F1C-4B37-BAFA-6883F5D83953}">
            <xm:f>Auxiliar!$B$24</xm:f>
            <x14:dxf>
              <font>
                <b/>
                <i val="0"/>
                <color theme="1"/>
              </font>
              <fill>
                <patternFill patternType="darkUp">
                  <bgColor theme="0"/>
                </patternFill>
              </fill>
            </x14:dxf>
          </x14:cfRule>
          <x14:cfRule type="cellIs" priority="33" operator="equal" id="{276EC598-EE9F-45D7-94E6-928F03518AF8}">
            <xm:f>Auxiliar!$B$18</xm:f>
            <x14:dxf>
              <font>
                <b/>
                <i val="0"/>
                <color theme="0" tint="-0.499984740745262"/>
              </font>
              <fill>
                <patternFill>
                  <bgColor theme="0" tint="-4.9989318521683403E-2"/>
                </patternFill>
              </fill>
            </x14:dxf>
          </x14:cfRule>
          <x14:cfRule type="containsText" priority="34"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35"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36"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25" operator="containsText" id="{DF73C972-CB92-40A2-BAF0-E7C61BA5778F}">
            <xm:f>NOT(ISERROR(SEARCH(Auxiliar!$B$21,I1265)))</xm:f>
            <xm:f>Auxiliar!$B$21</xm:f>
            <x14:dxf>
              <font>
                <b/>
                <i val="0"/>
                <color rgb="FFFFC000"/>
              </font>
              <fill>
                <patternFill>
                  <bgColor theme="9" tint="0.59996337778862885"/>
                </patternFill>
              </fill>
            </x14:dxf>
          </x14:cfRule>
          <x14:cfRule type="cellIs" priority="26" operator="equal" id="{9F26C1FC-CFC4-4288-9400-DD8C239CD49C}">
            <xm:f>Auxiliar!$B$24</xm:f>
            <x14:dxf>
              <font>
                <b/>
                <i val="0"/>
                <color theme="1"/>
              </font>
              <fill>
                <patternFill patternType="darkUp">
                  <bgColor theme="0"/>
                </patternFill>
              </fill>
            </x14:dxf>
          </x14:cfRule>
          <x14:cfRule type="cellIs" priority="27" operator="equal" id="{1756DC76-C5DC-4C7D-8547-CB79B8747803}">
            <xm:f>Auxiliar!$B$18</xm:f>
            <x14:dxf>
              <font>
                <b/>
                <i val="0"/>
                <color theme="0" tint="-0.499984740745262"/>
              </font>
              <fill>
                <patternFill>
                  <bgColor theme="0" tint="-4.9989318521683403E-2"/>
                </patternFill>
              </fill>
            </x14:dxf>
          </x14:cfRule>
          <x14:cfRule type="containsText" priority="28"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29"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30"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19" operator="containsText" id="{16E87EB1-9096-476C-ADA4-24C0C3D91FF4}">
            <xm:f>NOT(ISERROR(SEARCH(Auxiliar!$B$21,I1266)))</xm:f>
            <xm:f>Auxiliar!$B$21</xm:f>
            <x14:dxf>
              <font>
                <b/>
                <i val="0"/>
                <color rgb="FFFFC000"/>
              </font>
              <fill>
                <patternFill>
                  <bgColor theme="9" tint="0.59996337778862885"/>
                </patternFill>
              </fill>
            </x14:dxf>
          </x14:cfRule>
          <x14:cfRule type="cellIs" priority="20" operator="equal" id="{7AF34816-940D-4F70-9EF4-532C1CD6FDAB}">
            <xm:f>Auxiliar!$B$24</xm:f>
            <x14:dxf>
              <font>
                <b/>
                <i val="0"/>
                <color theme="1"/>
              </font>
              <fill>
                <patternFill patternType="darkUp">
                  <bgColor theme="0"/>
                </patternFill>
              </fill>
            </x14:dxf>
          </x14:cfRule>
          <x14:cfRule type="cellIs" priority="21" operator="equal" id="{518B662A-1CC9-449E-BD43-198823D2FA54}">
            <xm:f>Auxiliar!$B$18</xm:f>
            <x14:dxf>
              <font>
                <b/>
                <i val="0"/>
                <color theme="0" tint="-0.499984740745262"/>
              </font>
              <fill>
                <patternFill>
                  <bgColor theme="0" tint="-4.9989318521683403E-2"/>
                </patternFill>
              </fill>
            </x14:dxf>
          </x14:cfRule>
          <x14:cfRule type="containsText" priority="22"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23"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24"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13" operator="containsText" id="{6DE85724-2EE4-4C5C-BFE4-5CDF139191EE}">
            <xm:f>NOT(ISERROR(SEARCH(Auxiliar!$B$21,I1267)))</xm:f>
            <xm:f>Auxiliar!$B$21</xm:f>
            <x14:dxf>
              <font>
                <b/>
                <i val="0"/>
                <color rgb="FFFFC000"/>
              </font>
              <fill>
                <patternFill>
                  <bgColor theme="9" tint="0.59996337778862885"/>
                </patternFill>
              </fill>
            </x14:dxf>
          </x14:cfRule>
          <x14:cfRule type="cellIs" priority="14" operator="equal" id="{108BBB59-B3A9-4718-AE41-245162C547B8}">
            <xm:f>Auxiliar!$B$24</xm:f>
            <x14:dxf>
              <font>
                <b/>
                <i val="0"/>
                <color theme="1"/>
              </font>
              <fill>
                <patternFill patternType="darkUp">
                  <bgColor theme="0"/>
                </patternFill>
              </fill>
            </x14:dxf>
          </x14:cfRule>
          <x14:cfRule type="cellIs" priority="15" operator="equal" id="{9568F5E2-6C96-435A-A8A4-37A212A788A8}">
            <xm:f>Auxiliar!$B$18</xm:f>
            <x14:dxf>
              <font>
                <b/>
                <i val="0"/>
                <color theme="0" tint="-0.499984740745262"/>
              </font>
              <fill>
                <patternFill>
                  <bgColor theme="0" tint="-4.9989318521683403E-2"/>
                </patternFill>
              </fill>
            </x14:dxf>
          </x14:cfRule>
          <x14:cfRule type="containsText" priority="16"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17"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18"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7"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8" operator="equal" id="{CCD751C7-B7A2-4F98-8B22-D6FDAB936BE9}">
            <xm:f>Auxiliar!$B$24</xm:f>
            <x14:dxf>
              <font>
                <b/>
                <i val="0"/>
                <color theme="1"/>
              </font>
              <fill>
                <patternFill patternType="darkUp">
                  <bgColor theme="0"/>
                </patternFill>
              </fill>
            </x14:dxf>
          </x14:cfRule>
          <x14:cfRule type="cellIs" priority="9" operator="equal" id="{4D1BE949-1D0D-486A-8EBA-CAC34A73CAEF}">
            <xm:f>Auxiliar!$B$18</xm:f>
            <x14:dxf>
              <font>
                <b/>
                <i val="0"/>
                <color theme="0" tint="-0.499984740745262"/>
              </font>
              <fill>
                <patternFill>
                  <bgColor theme="0" tint="-4.9989318521683403E-2"/>
                </patternFill>
              </fill>
            </x14:dxf>
          </x14:cfRule>
          <x14:cfRule type="containsText" priority="10"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11"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12"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1"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2" operator="equal" id="{25D71A38-C4F5-4732-B7AB-6520ECA4FB07}">
            <xm:f>Auxiliar!$B$24</xm:f>
            <x14:dxf>
              <font>
                <b/>
                <i val="0"/>
                <color theme="1"/>
              </font>
              <fill>
                <patternFill patternType="darkUp">
                  <bgColor theme="0"/>
                </patternFill>
              </fill>
            </x14:dxf>
          </x14:cfRule>
          <x14:cfRule type="cellIs" priority="3" operator="equal" id="{8B1AAD81-3C08-40FA-906E-0B19D6772275}">
            <xm:f>Auxiliar!$B$18</xm:f>
            <x14:dxf>
              <font>
                <b/>
                <i val="0"/>
                <color theme="0" tint="-0.499984740745262"/>
              </font>
              <fill>
                <patternFill>
                  <bgColor theme="0" tint="-4.9989318521683403E-2"/>
                </patternFill>
              </fill>
            </x14:dxf>
          </x14:cfRule>
          <x14:cfRule type="containsText" priority="4"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5"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6"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3" customWidth="1"/>
    <col min="2" max="4" width="8.69921875" style="13"/>
    <col min="5" max="5" width="43.59765625" style="13" customWidth="1"/>
    <col min="6" max="16384" width="8.69921875" style="13"/>
  </cols>
  <sheetData>
    <row r="1" spans="1:11" ht="15.6">
      <c r="A1" s="14" t="s">
        <v>1301</v>
      </c>
      <c r="B1" s="13" t="s">
        <v>1302</v>
      </c>
      <c r="C1" s="13" t="s">
        <v>1303</v>
      </c>
      <c r="D1" s="13" t="s">
        <v>1304</v>
      </c>
      <c r="E1" s="13" t="s">
        <v>1305</v>
      </c>
      <c r="F1" s="13" t="s">
        <v>1306</v>
      </c>
      <c r="G1" s="13" t="s">
        <v>1307</v>
      </c>
      <c r="H1" s="13" t="s">
        <v>1308</v>
      </c>
      <c r="I1" s="13" t="s">
        <v>1309</v>
      </c>
      <c r="J1" s="13" t="s">
        <v>1310</v>
      </c>
      <c r="K1" s="13" t="s">
        <v>1311</v>
      </c>
    </row>
    <row r="2" spans="1:11">
      <c r="A2" s="15" t="str">
        <f>VLOOKUP(E2,Table1[[#All],[Campo]],1,0)</f>
        <v>cod_soc</v>
      </c>
      <c r="B2" s="13" t="s">
        <v>1312</v>
      </c>
      <c r="C2" s="13" t="s">
        <v>1313</v>
      </c>
      <c r="D2" s="13" t="s">
        <v>1314</v>
      </c>
      <c r="E2" s="13" t="s">
        <v>1315</v>
      </c>
      <c r="F2" s="13" t="s">
        <v>1316</v>
      </c>
      <c r="G2" s="13" t="s">
        <v>1317</v>
      </c>
      <c r="H2" s="13" t="s">
        <v>622</v>
      </c>
      <c r="I2" s="13">
        <v>1096295</v>
      </c>
      <c r="J2" s="13">
        <v>0</v>
      </c>
      <c r="K2" s="13">
        <v>0</v>
      </c>
    </row>
    <row r="3" spans="1:11">
      <c r="A3" s="15" t="str">
        <f>VLOOKUP(E3,Table1[[#All],[Campo]],1,0)</f>
        <v>dt_rfrnc</v>
      </c>
      <c r="B3" s="13" t="s">
        <v>1318</v>
      </c>
      <c r="C3" s="13" t="s">
        <v>1319</v>
      </c>
      <c r="D3" s="13" t="s">
        <v>1314</v>
      </c>
      <c r="E3" s="13" t="s">
        <v>1320</v>
      </c>
      <c r="F3" s="13" t="s">
        <v>1321</v>
      </c>
      <c r="G3" s="13" t="s">
        <v>1317</v>
      </c>
      <c r="H3" s="13" t="s">
        <v>622</v>
      </c>
      <c r="I3" s="13">
        <v>1096295</v>
      </c>
      <c r="J3" s="13">
        <v>0</v>
      </c>
      <c r="K3" s="13">
        <v>0</v>
      </c>
    </row>
    <row r="4" spans="1:11">
      <c r="A4" s="15" t="str">
        <f>VLOOKUP(E4,Table1[[#All],[Campo]],1,0)</f>
        <v>cod_soc</v>
      </c>
      <c r="B4" s="13" t="s">
        <v>1322</v>
      </c>
      <c r="C4" s="13" t="s">
        <v>1313</v>
      </c>
      <c r="D4" s="13" t="s">
        <v>1323</v>
      </c>
      <c r="E4" s="13" t="s">
        <v>1315</v>
      </c>
      <c r="F4" s="13" t="s">
        <v>1316</v>
      </c>
      <c r="G4" s="13" t="s">
        <v>1324</v>
      </c>
      <c r="H4" s="13" t="s">
        <v>622</v>
      </c>
      <c r="I4" s="13">
        <v>2490665</v>
      </c>
      <c r="J4" s="13">
        <v>0</v>
      </c>
      <c r="K4" s="13">
        <v>0</v>
      </c>
    </row>
    <row r="5" spans="1:11">
      <c r="A5" s="15" t="str">
        <f>VLOOKUP(E5,Table1[[#All],[Campo]],1,0)</f>
        <v>dt_rfrnc</v>
      </c>
      <c r="B5" s="13" t="s">
        <v>1325</v>
      </c>
      <c r="C5" s="13" t="s">
        <v>1326</v>
      </c>
      <c r="D5" s="13" t="s">
        <v>1323</v>
      </c>
      <c r="E5" s="13" t="s">
        <v>1320</v>
      </c>
      <c r="F5" s="13" t="s">
        <v>1321</v>
      </c>
      <c r="G5" s="13" t="s">
        <v>1324</v>
      </c>
      <c r="H5" s="13" t="s">
        <v>622</v>
      </c>
      <c r="I5" s="13">
        <v>2490665</v>
      </c>
      <c r="J5" s="13">
        <v>0</v>
      </c>
      <c r="K5" s="13">
        <v>0</v>
      </c>
    </row>
    <row r="6" spans="1:11">
      <c r="A6" s="15" t="str">
        <f>VLOOKUP(E6,Table1[[#All],[Campo]],1,0)</f>
        <v>instrmnt_id</v>
      </c>
      <c r="B6" s="13" t="s">
        <v>1327</v>
      </c>
      <c r="C6" s="13" t="s">
        <v>1328</v>
      </c>
      <c r="D6" s="13" t="s">
        <v>1323</v>
      </c>
      <c r="E6" s="13" t="s">
        <v>1329</v>
      </c>
      <c r="F6" s="13" t="s">
        <v>1316</v>
      </c>
      <c r="G6" s="13" t="s">
        <v>1324</v>
      </c>
      <c r="H6" s="13" t="s">
        <v>622</v>
      </c>
      <c r="I6" s="13">
        <v>2490665</v>
      </c>
      <c r="J6" s="13">
        <v>0</v>
      </c>
      <c r="K6" s="13">
        <v>0</v>
      </c>
    </row>
    <row r="7" spans="1:11">
      <c r="A7" s="15" t="str">
        <f>VLOOKUP(E7,Table1[[#All],[Campo]],1,0)</f>
        <v>cod_soc</v>
      </c>
      <c r="B7" s="13" t="s">
        <v>1330</v>
      </c>
      <c r="C7" s="13" t="s">
        <v>1313</v>
      </c>
      <c r="D7" s="13" t="s">
        <v>1331</v>
      </c>
      <c r="E7" s="13" t="s">
        <v>1315</v>
      </c>
      <c r="F7" s="13" t="s">
        <v>1316</v>
      </c>
      <c r="G7" s="13" t="s">
        <v>1332</v>
      </c>
      <c r="H7" s="13" t="s">
        <v>622</v>
      </c>
      <c r="I7" s="13">
        <v>2002411</v>
      </c>
      <c r="J7" s="13">
        <v>0</v>
      </c>
      <c r="K7" s="13">
        <v>0</v>
      </c>
    </row>
    <row r="8" spans="1:11">
      <c r="A8" s="15" t="str">
        <f>VLOOKUP(E8,Table1[[#All],[Campo]],1,0)</f>
        <v>dt_rfrnc</v>
      </c>
      <c r="B8" s="13" t="s">
        <v>1333</v>
      </c>
      <c r="C8" s="13" t="s">
        <v>1326</v>
      </c>
      <c r="D8" s="13" t="s">
        <v>1331</v>
      </c>
      <c r="E8" s="13" t="s">
        <v>1320</v>
      </c>
      <c r="F8" s="13" t="s">
        <v>1321</v>
      </c>
      <c r="G8" s="13" t="s">
        <v>1332</v>
      </c>
      <c r="H8" s="13" t="s">
        <v>622</v>
      </c>
      <c r="I8" s="13">
        <v>2002411</v>
      </c>
      <c r="J8" s="13">
        <v>0</v>
      </c>
      <c r="K8" s="13">
        <v>0</v>
      </c>
    </row>
    <row r="9" spans="1:11">
      <c r="A9" s="15" t="str">
        <f>VLOOKUP(E9,Table1[[#All],[Campo]],1,0)</f>
        <v>instrmnt_id</v>
      </c>
      <c r="B9" s="13" t="s">
        <v>1334</v>
      </c>
      <c r="C9" s="13" t="s">
        <v>1328</v>
      </c>
      <c r="D9" s="13" t="s">
        <v>1331</v>
      </c>
      <c r="E9" s="13" t="s">
        <v>1329</v>
      </c>
      <c r="F9" s="13" t="s">
        <v>1316</v>
      </c>
      <c r="G9" s="13" t="s">
        <v>1332</v>
      </c>
      <c r="H9" s="13" t="s">
        <v>622</v>
      </c>
      <c r="I9" s="13">
        <v>2002411</v>
      </c>
      <c r="J9" s="13">
        <v>0</v>
      </c>
      <c r="K9" s="13">
        <v>0</v>
      </c>
    </row>
    <row r="10" spans="1:11">
      <c r="A10" s="15" t="str">
        <f>VLOOKUP(E10,Table1[[#All],[Campo]],1,0)</f>
        <v>dflt_stts_instrmnt</v>
      </c>
      <c r="B10" s="13" t="s">
        <v>1335</v>
      </c>
      <c r="C10" s="13" t="s">
        <v>1336</v>
      </c>
      <c r="D10" s="13" t="s">
        <v>1337</v>
      </c>
      <c r="E10" s="13" t="s">
        <v>1338</v>
      </c>
      <c r="F10" s="13" t="s">
        <v>1339</v>
      </c>
      <c r="G10" s="13" t="s">
        <v>1332</v>
      </c>
      <c r="H10" s="13" t="s">
        <v>1340</v>
      </c>
      <c r="I10" s="13">
        <v>2002411</v>
      </c>
      <c r="J10" s="13">
        <v>96182</v>
      </c>
      <c r="K10" s="13">
        <v>4.8033000000000001</v>
      </c>
    </row>
    <row r="11" spans="1:11">
      <c r="A11" s="15" t="str">
        <f>VLOOKUP(E11,Table1[[#All],[Campo]],1,0)</f>
        <v>prfrmng_stts</v>
      </c>
      <c r="B11" s="13" t="s">
        <v>1341</v>
      </c>
      <c r="C11" s="13" t="s">
        <v>1342</v>
      </c>
      <c r="D11" s="13" t="s">
        <v>1337</v>
      </c>
      <c r="E11" s="13" t="s">
        <v>1343</v>
      </c>
      <c r="F11" s="13" t="s">
        <v>1339</v>
      </c>
      <c r="G11" s="13" t="s">
        <v>1332</v>
      </c>
      <c r="H11" s="13" t="s">
        <v>622</v>
      </c>
      <c r="I11" s="13">
        <v>2002411</v>
      </c>
      <c r="J11" s="13">
        <v>0</v>
      </c>
      <c r="K11" s="13">
        <v>0</v>
      </c>
    </row>
    <row r="12" spans="1:11">
      <c r="A12" s="15" t="str">
        <f>VLOOKUP(E12,Table1[[#All],[Campo]],1,0)</f>
        <v>lcl_instmrnt_id</v>
      </c>
      <c r="B12" s="13" t="s">
        <v>1344</v>
      </c>
      <c r="C12" s="13" t="s">
        <v>1345</v>
      </c>
      <c r="D12" s="13" t="s">
        <v>1331</v>
      </c>
      <c r="E12" s="13" t="s">
        <v>1346</v>
      </c>
      <c r="F12" s="13" t="s">
        <v>1316</v>
      </c>
      <c r="G12" s="13" t="s">
        <v>1332</v>
      </c>
      <c r="H12" s="13" t="s">
        <v>1340</v>
      </c>
      <c r="I12" s="13">
        <v>2002411</v>
      </c>
      <c r="J12" s="13">
        <v>2002411</v>
      </c>
      <c r="K12" s="13">
        <v>100</v>
      </c>
    </row>
    <row r="13" spans="1:11">
      <c r="A13" s="15" t="str">
        <f>VLOOKUP(E13,Table1[[#All],[Campo]],1,0)</f>
        <v>sstnbl_indctr</v>
      </c>
      <c r="B13" s="13" t="s">
        <v>1347</v>
      </c>
      <c r="C13" s="13" t="s">
        <v>1348</v>
      </c>
      <c r="D13" s="13" t="s">
        <v>1337</v>
      </c>
      <c r="E13" s="13" t="s">
        <v>1349</v>
      </c>
      <c r="F13" s="13" t="s">
        <v>1350</v>
      </c>
      <c r="G13" s="13" t="s">
        <v>1332</v>
      </c>
      <c r="H13" s="13" t="s">
        <v>1340</v>
      </c>
      <c r="I13" s="13">
        <v>2002318</v>
      </c>
      <c r="J13" s="13">
        <v>2002318</v>
      </c>
      <c r="K13" s="13">
        <v>100</v>
      </c>
    </row>
    <row r="14" spans="1:11">
      <c r="A14" s="15" t="str">
        <f>VLOOKUP(E14,Table1[[#All],[Campo]],1,0)</f>
        <v>sstnbl_ctgry</v>
      </c>
      <c r="B14" s="13" t="s">
        <v>1351</v>
      </c>
      <c r="C14" s="13" t="s">
        <v>1352</v>
      </c>
      <c r="D14" s="13" t="s">
        <v>1337</v>
      </c>
      <c r="E14" s="13" t="s">
        <v>1353</v>
      </c>
      <c r="F14" s="13" t="s">
        <v>1350</v>
      </c>
      <c r="G14" s="13" t="s">
        <v>1332</v>
      </c>
      <c r="H14" s="13" t="s">
        <v>1340</v>
      </c>
      <c r="I14" s="13">
        <v>2002318</v>
      </c>
      <c r="J14" s="13">
        <v>2002318</v>
      </c>
      <c r="K14" s="13">
        <v>100</v>
      </c>
    </row>
    <row r="15" spans="1:11">
      <c r="A15" s="15" t="str">
        <f>VLOOKUP(E15,Table1[[#All],[Campo]],1,0)</f>
        <v>NW_BSNSS</v>
      </c>
      <c r="B15" s="13" t="s">
        <v>1354</v>
      </c>
      <c r="C15" s="13" t="s">
        <v>1355</v>
      </c>
      <c r="D15" s="13" t="s">
        <v>1337</v>
      </c>
      <c r="E15" s="13" t="s">
        <v>1356</v>
      </c>
      <c r="F15" s="13" t="s">
        <v>1350</v>
      </c>
      <c r="G15" s="13" t="s">
        <v>1332</v>
      </c>
      <c r="H15" s="13" t="s">
        <v>1340</v>
      </c>
      <c r="I15" s="13">
        <v>2002411</v>
      </c>
      <c r="J15" s="13">
        <v>2002411</v>
      </c>
      <c r="K15" s="13">
        <v>100</v>
      </c>
    </row>
    <row r="16" spans="1:11">
      <c r="A16" s="15" t="e">
        <f>VLOOKUP(E16,Table1[[#All],[Campo]],1,0)</f>
        <v>#N/A</v>
      </c>
      <c r="B16" s="13" t="s">
        <v>1357</v>
      </c>
      <c r="C16" s="13" t="s">
        <v>1358</v>
      </c>
      <c r="D16" s="13" t="s">
        <v>1337</v>
      </c>
      <c r="E16" s="13" t="s">
        <v>1359</v>
      </c>
      <c r="F16" s="13" t="s">
        <v>1350</v>
      </c>
      <c r="G16" s="13" t="s">
        <v>1332</v>
      </c>
      <c r="H16" s="13" t="s">
        <v>1340</v>
      </c>
      <c r="I16" s="13">
        <v>2002411</v>
      </c>
      <c r="J16" s="13">
        <v>2002411</v>
      </c>
      <c r="K16" s="13">
        <v>100</v>
      </c>
    </row>
    <row r="17" spans="1:11">
      <c r="A17" s="15" t="e">
        <f>VLOOKUP(E17,Table1[[#All],[Campo]],1,0)</f>
        <v>#N/A</v>
      </c>
      <c r="B17" s="13" t="s">
        <v>1360</v>
      </c>
      <c r="C17" s="13" t="s">
        <v>1361</v>
      </c>
      <c r="D17" s="13" t="s">
        <v>1337</v>
      </c>
      <c r="E17" s="13" t="s">
        <v>1362</v>
      </c>
      <c r="F17" s="13" t="s">
        <v>1350</v>
      </c>
      <c r="G17" s="13" t="s">
        <v>1332</v>
      </c>
      <c r="H17" s="13" t="s">
        <v>1340</v>
      </c>
      <c r="I17" s="13">
        <v>2002411</v>
      </c>
      <c r="J17" s="13">
        <v>2002411</v>
      </c>
      <c r="K17" s="13">
        <v>100</v>
      </c>
    </row>
    <row r="18" spans="1:11">
      <c r="A18" s="15" t="e">
        <f>VLOOKUP(E18,Table1[[#All],[Campo]],1,0)</f>
        <v>#N/A</v>
      </c>
      <c r="B18" s="13" t="s">
        <v>1363</v>
      </c>
      <c r="C18" s="13" t="s">
        <v>1364</v>
      </c>
      <c r="D18" s="13" t="s">
        <v>1337</v>
      </c>
      <c r="E18" s="13" t="s">
        <v>1365</v>
      </c>
      <c r="F18" s="13" t="s">
        <v>1350</v>
      </c>
      <c r="G18" s="13" t="s">
        <v>1332</v>
      </c>
      <c r="H18" s="13" t="s">
        <v>1340</v>
      </c>
      <c r="I18" s="13">
        <v>2002411</v>
      </c>
      <c r="J18" s="13">
        <v>2002411</v>
      </c>
      <c r="K18" s="13">
        <v>100</v>
      </c>
    </row>
    <row r="19" spans="1:11">
      <c r="A19" s="15" t="s">
        <v>1366</v>
      </c>
      <c r="B19" s="13" t="s">
        <v>1367</v>
      </c>
      <c r="C19" s="13" t="s">
        <v>1368</v>
      </c>
      <c r="D19" s="13" t="s">
        <v>1337</v>
      </c>
      <c r="E19" s="13" t="s">
        <v>1369</v>
      </c>
      <c r="F19" s="13" t="s">
        <v>1350</v>
      </c>
      <c r="G19" s="13" t="s">
        <v>1332</v>
      </c>
      <c r="H19" s="13" t="s">
        <v>1340</v>
      </c>
      <c r="I19" s="13">
        <v>2002411</v>
      </c>
      <c r="J19" s="13">
        <v>2002411</v>
      </c>
      <c r="K19" s="13">
        <v>100</v>
      </c>
    </row>
    <row r="20" spans="1:11">
      <c r="A20" s="15" t="str">
        <f>VLOOKUP(E20,Table1[[#All],[Campo]],1,0)</f>
        <v>idcmb</v>
      </c>
      <c r="B20" s="13" t="s">
        <v>1370</v>
      </c>
      <c r="C20" s="13" t="s">
        <v>1371</v>
      </c>
      <c r="D20" s="13" t="s">
        <v>1331</v>
      </c>
      <c r="E20" s="13" t="s">
        <v>1372</v>
      </c>
      <c r="F20" s="13" t="s">
        <v>1316</v>
      </c>
      <c r="G20" s="13" t="s">
        <v>1332</v>
      </c>
      <c r="H20" s="13" t="s">
        <v>1340</v>
      </c>
      <c r="I20" s="13">
        <v>2002411</v>
      </c>
      <c r="J20" s="13">
        <v>1</v>
      </c>
      <c r="K20" s="13">
        <v>0</v>
      </c>
    </row>
    <row r="21" spans="1:11">
      <c r="A21" s="15" t="str">
        <f>VLOOKUP(E21,Table1[[#All],[Campo]],1,0)</f>
        <v>cod_soc</v>
      </c>
      <c r="B21" s="13" t="s">
        <v>1373</v>
      </c>
      <c r="C21" s="13" t="s">
        <v>1313</v>
      </c>
      <c r="D21" s="13" t="s">
        <v>1374</v>
      </c>
      <c r="E21" s="13" t="s">
        <v>1315</v>
      </c>
      <c r="F21" s="13" t="s">
        <v>1316</v>
      </c>
      <c r="G21" s="13" t="s">
        <v>1375</v>
      </c>
      <c r="H21" s="13" t="s">
        <v>622</v>
      </c>
      <c r="I21" s="13">
        <v>731165</v>
      </c>
      <c r="J21" s="13">
        <v>0</v>
      </c>
      <c r="K21" s="13">
        <v>0</v>
      </c>
    </row>
    <row r="22" spans="1:11">
      <c r="A22" s="15" t="str">
        <f>VLOOKUP(E22,Table1[[#All],[Campo]],1,0)</f>
        <v>dt_rfrnc</v>
      </c>
      <c r="B22" s="13" t="s">
        <v>1376</v>
      </c>
      <c r="C22" s="13" t="s">
        <v>1326</v>
      </c>
      <c r="D22" s="13" t="s">
        <v>1374</v>
      </c>
      <c r="E22" s="13" t="s">
        <v>1320</v>
      </c>
      <c r="F22" s="13" t="s">
        <v>1321</v>
      </c>
      <c r="G22" s="13" t="s">
        <v>1375</v>
      </c>
      <c r="H22" s="13" t="s">
        <v>622</v>
      </c>
      <c r="I22" s="13">
        <v>731165</v>
      </c>
      <c r="J22" s="13">
        <v>0</v>
      </c>
      <c r="K22" s="13">
        <v>0</v>
      </c>
    </row>
    <row r="23" spans="1:11">
      <c r="A23" s="15" t="str">
        <f>VLOOKUP(E23,Table1[[#All],[Campo]],1,0)</f>
        <v>instrmnt_id</v>
      </c>
      <c r="B23" s="13" t="s">
        <v>1377</v>
      </c>
      <c r="C23" s="13" t="s">
        <v>1328</v>
      </c>
      <c r="D23" s="13" t="s">
        <v>1374</v>
      </c>
      <c r="E23" s="13" t="s">
        <v>1329</v>
      </c>
      <c r="F23" s="13" t="s">
        <v>1316</v>
      </c>
      <c r="G23" s="13" t="s">
        <v>1375</v>
      </c>
      <c r="H23" s="13" t="s">
        <v>622</v>
      </c>
      <c r="I23" s="13">
        <v>731165</v>
      </c>
      <c r="J23" s="13">
        <v>0</v>
      </c>
      <c r="K23" s="13">
        <v>0</v>
      </c>
    </row>
    <row r="24" spans="1:11">
      <c r="A24" s="15" t="str">
        <f>VLOOKUP(E24,Table1[[#All],[Campo]],1,0)</f>
        <v>cod_soc</v>
      </c>
      <c r="B24" s="13" t="s">
        <v>1378</v>
      </c>
      <c r="C24" s="13" t="s">
        <v>1313</v>
      </c>
      <c r="D24" s="13" t="s">
        <v>1379</v>
      </c>
      <c r="E24" s="13" t="s">
        <v>1315</v>
      </c>
      <c r="F24" s="13" t="s">
        <v>1316</v>
      </c>
      <c r="G24" s="13" t="s">
        <v>1380</v>
      </c>
      <c r="H24" s="13" t="s">
        <v>622</v>
      </c>
      <c r="I24" s="13">
        <v>456960</v>
      </c>
      <c r="J24" s="13">
        <v>0</v>
      </c>
      <c r="K24" s="13">
        <v>0</v>
      </c>
    </row>
    <row r="25" spans="1:11">
      <c r="A25" s="15" t="str">
        <f>VLOOKUP(E25,Table1[[#All],[Campo]],1,0)</f>
        <v>dt_rfrnc</v>
      </c>
      <c r="B25" s="13" t="s">
        <v>1381</v>
      </c>
      <c r="C25" s="13" t="s">
        <v>1326</v>
      </c>
      <c r="D25" s="13" t="s">
        <v>1379</v>
      </c>
      <c r="E25" s="13" t="s">
        <v>1320</v>
      </c>
      <c r="F25" s="13" t="s">
        <v>1321</v>
      </c>
      <c r="G25" s="13" t="s">
        <v>1380</v>
      </c>
      <c r="H25" s="13" t="s">
        <v>622</v>
      </c>
      <c r="I25" s="13">
        <v>456960</v>
      </c>
      <c r="J25" s="13">
        <v>0</v>
      </c>
      <c r="K25" s="13">
        <v>0</v>
      </c>
    </row>
    <row r="26" spans="1:11">
      <c r="A26" s="15" t="str">
        <f>VLOOKUP(E26,Table1[[#All],[Campo]],1,0)</f>
        <v>instrmnt_id</v>
      </c>
      <c r="B26" s="13" t="s">
        <v>1382</v>
      </c>
      <c r="C26" s="13" t="s">
        <v>1383</v>
      </c>
      <c r="D26" s="13" t="s">
        <v>1337</v>
      </c>
      <c r="E26" s="13" t="s">
        <v>1329</v>
      </c>
      <c r="F26" s="13" t="s">
        <v>1384</v>
      </c>
      <c r="G26" s="13" t="s">
        <v>1385</v>
      </c>
      <c r="H26" s="13" t="s">
        <v>622</v>
      </c>
      <c r="I26" s="13">
        <v>2003033</v>
      </c>
      <c r="J26" s="13">
        <v>0</v>
      </c>
      <c r="K26" s="13">
        <v>0</v>
      </c>
    </row>
    <row r="27" spans="1:11">
      <c r="A27" s="15" t="str">
        <f>VLOOKUP(E27,Table1[[#All],[Campo]],1,0)</f>
        <v>instrmnt_id</v>
      </c>
      <c r="B27" s="13" t="s">
        <v>1386</v>
      </c>
      <c r="C27" s="13" t="s">
        <v>1387</v>
      </c>
      <c r="D27" s="13" t="s">
        <v>1388</v>
      </c>
      <c r="E27" s="13" t="s">
        <v>1329</v>
      </c>
      <c r="F27" s="13" t="s">
        <v>1384</v>
      </c>
      <c r="G27" s="13" t="s">
        <v>1385</v>
      </c>
      <c r="H27" s="13" t="s">
        <v>622</v>
      </c>
      <c r="I27" s="13">
        <v>731165</v>
      </c>
      <c r="J27" s="13">
        <v>0</v>
      </c>
      <c r="K27" s="13">
        <v>0</v>
      </c>
    </row>
    <row r="28" spans="1:11">
      <c r="A28" s="15" t="str">
        <f>VLOOKUP(E28,Table1[[#All],[Campo]],1,0)</f>
        <v>cod_soc</v>
      </c>
      <c r="B28" s="13" t="s">
        <v>1389</v>
      </c>
      <c r="C28" s="13" t="s">
        <v>1390</v>
      </c>
      <c r="D28" s="13" t="s">
        <v>1391</v>
      </c>
      <c r="E28" s="13" t="s">
        <v>1315</v>
      </c>
      <c r="F28" s="13" t="s">
        <v>1392</v>
      </c>
      <c r="G28" s="13" t="s">
        <v>1393</v>
      </c>
      <c r="H28" s="13" t="s">
        <v>622</v>
      </c>
      <c r="I28" s="13">
        <v>1096295</v>
      </c>
      <c r="J28" s="13">
        <v>0</v>
      </c>
      <c r="K28" s="13">
        <v>0</v>
      </c>
    </row>
    <row r="29" spans="1:11">
      <c r="A29" s="15" t="str">
        <f>VLOOKUP(E29,Table1[[#All],[Campo]],1,0)</f>
        <v>dt_rfrnc</v>
      </c>
      <c r="B29" s="13" t="s">
        <v>1394</v>
      </c>
      <c r="C29" s="13" t="s">
        <v>1395</v>
      </c>
      <c r="D29" s="13" t="s">
        <v>1391</v>
      </c>
      <c r="E29" s="13" t="s">
        <v>1320</v>
      </c>
      <c r="F29" s="13" t="s">
        <v>1396</v>
      </c>
      <c r="G29" s="13" t="s">
        <v>1393</v>
      </c>
      <c r="H29" s="13" t="s">
        <v>622</v>
      </c>
      <c r="I29" s="13">
        <v>1096295</v>
      </c>
      <c r="J29" s="13">
        <v>0</v>
      </c>
      <c r="K29" s="13">
        <v>0</v>
      </c>
    </row>
    <row r="30" spans="1:11">
      <c r="A30" s="15" t="str">
        <f>VLOOKUP(E30,Table1[[#All],[Campo]],1,0)</f>
        <v>cod_soc</v>
      </c>
      <c r="B30" s="13" t="s">
        <v>1397</v>
      </c>
      <c r="C30" s="13" t="s">
        <v>1390</v>
      </c>
      <c r="D30" s="13" t="s">
        <v>1398</v>
      </c>
      <c r="E30" s="13" t="s">
        <v>1315</v>
      </c>
      <c r="F30" s="13" t="s">
        <v>1392</v>
      </c>
      <c r="G30" s="13" t="s">
        <v>1399</v>
      </c>
      <c r="H30" s="13" t="s">
        <v>622</v>
      </c>
      <c r="I30" s="13">
        <v>2490665</v>
      </c>
      <c r="J30" s="13">
        <v>0</v>
      </c>
      <c r="K30" s="13">
        <v>0</v>
      </c>
    </row>
    <row r="31" spans="1:11">
      <c r="A31" s="15" t="str">
        <f>VLOOKUP(E31,Table1[[#All],[Campo]],1,0)</f>
        <v>dt_rfrnc</v>
      </c>
      <c r="B31" s="13" t="s">
        <v>1400</v>
      </c>
      <c r="C31" s="13" t="s">
        <v>1401</v>
      </c>
      <c r="D31" s="13" t="s">
        <v>1398</v>
      </c>
      <c r="E31" s="13" t="s">
        <v>1320</v>
      </c>
      <c r="F31" s="13" t="s">
        <v>1396</v>
      </c>
      <c r="G31" s="13" t="s">
        <v>1399</v>
      </c>
      <c r="H31" s="13" t="s">
        <v>622</v>
      </c>
      <c r="I31" s="13">
        <v>2490665</v>
      </c>
      <c r="J31" s="13">
        <v>0</v>
      </c>
      <c r="K31" s="13">
        <v>0</v>
      </c>
    </row>
    <row r="32" spans="1:11">
      <c r="A32" s="15" t="str">
        <f>VLOOKUP(E32,Table1[[#All],[Campo]],1,0)</f>
        <v>instrmnt_id</v>
      </c>
      <c r="B32" s="13" t="s">
        <v>1402</v>
      </c>
      <c r="C32" s="13" t="s">
        <v>1403</v>
      </c>
      <c r="D32" s="13" t="s">
        <v>1398</v>
      </c>
      <c r="E32" s="13" t="s">
        <v>1329</v>
      </c>
      <c r="F32" s="13" t="s">
        <v>1404</v>
      </c>
      <c r="G32" s="13" t="s">
        <v>1399</v>
      </c>
      <c r="H32" s="13" t="s">
        <v>622</v>
      </c>
      <c r="I32" s="13">
        <v>2490665</v>
      </c>
      <c r="J32" s="13">
        <v>0</v>
      </c>
      <c r="K32" s="13">
        <v>0</v>
      </c>
    </row>
    <row r="33" spans="1:11">
      <c r="A33" s="15" t="str">
        <f>VLOOKUP(E33,Table1[[#All],[Campo]],1,0)</f>
        <v>cod_soc</v>
      </c>
      <c r="B33" s="13" t="s">
        <v>1405</v>
      </c>
      <c r="C33" s="13" t="s">
        <v>1390</v>
      </c>
      <c r="D33" s="13" t="s">
        <v>1337</v>
      </c>
      <c r="E33" s="13" t="s">
        <v>1315</v>
      </c>
      <c r="F33" s="13" t="s">
        <v>1392</v>
      </c>
      <c r="G33" s="13" t="s">
        <v>1406</v>
      </c>
      <c r="H33" s="13" t="s">
        <v>622</v>
      </c>
      <c r="I33" s="13">
        <v>2003033</v>
      </c>
      <c r="J33" s="13">
        <v>0</v>
      </c>
      <c r="K33" s="13">
        <v>0</v>
      </c>
    </row>
    <row r="34" spans="1:11">
      <c r="A34" s="15" t="str">
        <f>VLOOKUP(E34,Table1[[#All],[Campo]],1,0)</f>
        <v>subportfolio_id</v>
      </c>
      <c r="B34" s="13" t="s">
        <v>1407</v>
      </c>
      <c r="C34" s="13" t="s">
        <v>1408</v>
      </c>
      <c r="D34" s="13" t="s">
        <v>1337</v>
      </c>
      <c r="E34" s="13" t="s">
        <v>1409</v>
      </c>
      <c r="F34" s="13" t="s">
        <v>1392</v>
      </c>
      <c r="G34" s="13" t="s">
        <v>1406</v>
      </c>
      <c r="H34" s="13" t="s">
        <v>622</v>
      </c>
      <c r="I34" s="13">
        <v>2003033</v>
      </c>
      <c r="J34" s="13">
        <v>0</v>
      </c>
      <c r="K34" s="13">
        <v>0</v>
      </c>
    </row>
    <row r="35" spans="1:11">
      <c r="A35" s="15" t="str">
        <f>VLOOKUP(E35,Table1[[#All],[Campo]],1,0)</f>
        <v>dt_rfrnc</v>
      </c>
      <c r="B35" s="13" t="s">
        <v>1410</v>
      </c>
      <c r="C35" s="13" t="s">
        <v>1401</v>
      </c>
      <c r="D35" s="13" t="s">
        <v>1337</v>
      </c>
      <c r="E35" s="13" t="s">
        <v>1320</v>
      </c>
      <c r="F35" s="13" t="s">
        <v>1396</v>
      </c>
      <c r="G35" s="13" t="s">
        <v>1406</v>
      </c>
      <c r="H35" s="13" t="s">
        <v>622</v>
      </c>
      <c r="I35" s="13">
        <v>2003033</v>
      </c>
      <c r="J35" s="13">
        <v>0</v>
      </c>
      <c r="K35" s="13">
        <v>0</v>
      </c>
    </row>
    <row r="36" spans="1:11">
      <c r="A36" s="15" t="str">
        <f>VLOOKUP(E36,Table1[[#All],[Campo]],1,0)</f>
        <v>instrmnt_id</v>
      </c>
      <c r="B36" s="13" t="s">
        <v>1411</v>
      </c>
      <c r="C36" s="13" t="s">
        <v>1403</v>
      </c>
      <c r="D36" s="13" t="s">
        <v>1337</v>
      </c>
      <c r="E36" s="13" t="s">
        <v>1329</v>
      </c>
      <c r="F36" s="13" t="s">
        <v>1404</v>
      </c>
      <c r="G36" s="13" t="s">
        <v>1406</v>
      </c>
      <c r="H36" s="13" t="s">
        <v>622</v>
      </c>
      <c r="I36" s="13">
        <v>2003033</v>
      </c>
      <c r="J36" s="13">
        <v>0</v>
      </c>
      <c r="K36" s="13">
        <v>0</v>
      </c>
    </row>
    <row r="37" spans="1:11">
      <c r="A37" s="15" t="str">
        <f>VLOOKUP(E37,Table1[[#All],[Campo]],1,0)</f>
        <v>dflt_stts_instrmnt</v>
      </c>
      <c r="B37" s="13" t="s">
        <v>1412</v>
      </c>
      <c r="C37" s="13" t="s">
        <v>1413</v>
      </c>
      <c r="D37" s="13" t="s">
        <v>1337</v>
      </c>
      <c r="E37" s="13" t="s">
        <v>1338</v>
      </c>
      <c r="F37" s="13" t="s">
        <v>1392</v>
      </c>
      <c r="G37" s="13" t="s">
        <v>1406</v>
      </c>
      <c r="H37" s="13" t="s">
        <v>622</v>
      </c>
      <c r="I37" s="13">
        <v>2003033</v>
      </c>
      <c r="J37" s="13">
        <v>0</v>
      </c>
      <c r="K37" s="13">
        <v>0</v>
      </c>
    </row>
    <row r="38" spans="1:11">
      <c r="A38" s="15" t="str">
        <f>VLOOKUP(E38,Table1[[#All],[Campo]],1,0)</f>
        <v>imprmnt_stts</v>
      </c>
      <c r="B38" s="13" t="s">
        <v>1414</v>
      </c>
      <c r="C38" s="13" t="s">
        <v>1415</v>
      </c>
      <c r="D38" s="13" t="s">
        <v>1337</v>
      </c>
      <c r="E38" s="13" t="s">
        <v>1416</v>
      </c>
      <c r="F38" s="13" t="s">
        <v>1392</v>
      </c>
      <c r="G38" s="13" t="s">
        <v>1406</v>
      </c>
      <c r="H38" s="13" t="s">
        <v>622</v>
      </c>
      <c r="I38" s="13">
        <v>2003033</v>
      </c>
      <c r="J38" s="13">
        <v>0</v>
      </c>
      <c r="K38" s="13">
        <v>0</v>
      </c>
    </row>
    <row r="39" spans="1:11">
      <c r="A39" s="15" t="str">
        <f>VLOOKUP(E39,Table1[[#All],[Campo]],1,0)</f>
        <v>prfrmng_stts</v>
      </c>
      <c r="B39" s="13" t="s">
        <v>1417</v>
      </c>
      <c r="C39" s="13" t="s">
        <v>1418</v>
      </c>
      <c r="D39" s="13" t="s">
        <v>1337</v>
      </c>
      <c r="E39" s="13" t="s">
        <v>1343</v>
      </c>
      <c r="F39" s="13" t="s">
        <v>1392</v>
      </c>
      <c r="G39" s="13" t="s">
        <v>1406</v>
      </c>
      <c r="H39" s="13" t="s">
        <v>622</v>
      </c>
      <c r="I39" s="13">
        <v>2003033</v>
      </c>
      <c r="J39" s="13">
        <v>0</v>
      </c>
      <c r="K39" s="13">
        <v>0</v>
      </c>
    </row>
    <row r="40" spans="1:11">
      <c r="A40" s="15" t="str">
        <f>VLOOKUP(E40,Table1[[#All],[Campo]],1,0)</f>
        <v>typ_instrmnt</v>
      </c>
      <c r="B40" s="13" t="s">
        <v>1419</v>
      </c>
      <c r="C40" s="13" t="s">
        <v>1420</v>
      </c>
      <c r="D40" s="13" t="s">
        <v>1337</v>
      </c>
      <c r="E40" s="13" t="s">
        <v>1421</v>
      </c>
      <c r="F40" s="13" t="s">
        <v>1392</v>
      </c>
      <c r="G40" s="13" t="s">
        <v>1406</v>
      </c>
      <c r="H40" s="13" t="s">
        <v>622</v>
      </c>
      <c r="I40" s="13">
        <v>2003033</v>
      </c>
      <c r="J40" s="13">
        <v>0</v>
      </c>
      <c r="K40" s="13">
        <v>0</v>
      </c>
    </row>
    <row r="41" spans="1:11">
      <c r="A41" s="15" t="str">
        <f>VLOOKUP(E41,Table1[[#All],[Campo]],1,0)</f>
        <v>grss_crryng_amnt_instrmnt</v>
      </c>
      <c r="B41" s="13" t="s">
        <v>1422</v>
      </c>
      <c r="C41" s="13" t="s">
        <v>1423</v>
      </c>
      <c r="D41" s="13" t="s">
        <v>1337</v>
      </c>
      <c r="E41" s="13" t="s">
        <v>1424</v>
      </c>
      <c r="F41" s="13" t="s">
        <v>1425</v>
      </c>
      <c r="G41" s="13" t="s">
        <v>1406</v>
      </c>
      <c r="H41" s="13" t="s">
        <v>622</v>
      </c>
      <c r="I41" s="13">
        <v>2003033</v>
      </c>
      <c r="J41" s="13">
        <v>0</v>
      </c>
      <c r="K41" s="13">
        <v>0</v>
      </c>
    </row>
    <row r="42" spans="1:11">
      <c r="A42" s="15" t="str">
        <f>VLOOKUP(E42,Table1[[#All],[Campo]],1,0)</f>
        <v>accmltd_chngs_fv_cr_instrmnt</v>
      </c>
      <c r="B42" s="13" t="s">
        <v>1426</v>
      </c>
      <c r="C42" s="13" t="s">
        <v>1427</v>
      </c>
      <c r="D42" s="13" t="s">
        <v>1337</v>
      </c>
      <c r="E42" s="13" t="s">
        <v>1428</v>
      </c>
      <c r="F42" s="13" t="s">
        <v>1425</v>
      </c>
      <c r="G42" s="13" t="s">
        <v>1406</v>
      </c>
      <c r="H42" s="13" t="s">
        <v>622</v>
      </c>
      <c r="I42" s="13">
        <v>2003033</v>
      </c>
      <c r="J42" s="13">
        <v>0</v>
      </c>
      <c r="K42" s="13">
        <v>0</v>
      </c>
    </row>
    <row r="43" spans="1:11">
      <c r="A43" s="15" t="str">
        <f>VLOOKUP(E43,Table1[[#All],[Campo]],1,0)</f>
        <v>accntng_clssfctn</v>
      </c>
      <c r="B43" s="13" t="s">
        <v>1429</v>
      </c>
      <c r="C43" s="13" t="s">
        <v>1430</v>
      </c>
      <c r="D43" s="13" t="s">
        <v>1337</v>
      </c>
      <c r="E43" s="13" t="s">
        <v>1431</v>
      </c>
      <c r="F43" s="13" t="s">
        <v>1392</v>
      </c>
      <c r="G43" s="13" t="s">
        <v>1406</v>
      </c>
      <c r="H43" s="13" t="s">
        <v>622</v>
      </c>
      <c r="I43" s="13">
        <v>2003033</v>
      </c>
      <c r="J43" s="13">
        <v>0</v>
      </c>
      <c r="K43" s="13">
        <v>0</v>
      </c>
    </row>
    <row r="44" spans="1:11">
      <c r="A44" s="15" t="str">
        <f>VLOOKUP(E44,Table1[[#All],[Campo]],1,0)</f>
        <v>OFF_BLNC_SHT_AMNT_INSTRMNT</v>
      </c>
      <c r="B44" s="13" t="s">
        <v>1432</v>
      </c>
      <c r="C44" s="13" t="s">
        <v>1433</v>
      </c>
      <c r="D44" s="13" t="s">
        <v>1337</v>
      </c>
      <c r="E44" s="13" t="s">
        <v>1434</v>
      </c>
      <c r="F44" s="13" t="s">
        <v>1425</v>
      </c>
      <c r="G44" s="13" t="s">
        <v>1406</v>
      </c>
      <c r="H44" s="13" t="s">
        <v>622</v>
      </c>
      <c r="I44" s="13">
        <v>2003033</v>
      </c>
      <c r="J44" s="13">
        <v>0</v>
      </c>
      <c r="K44" s="13">
        <v>0</v>
      </c>
    </row>
    <row r="45" spans="1:11">
      <c r="A45" s="15" t="e">
        <f>VLOOKUP(E45,Table1[[#All],[Campo]],1,0)</f>
        <v>#N/A</v>
      </c>
      <c r="B45" s="13" t="s">
        <v>1435</v>
      </c>
      <c r="C45" s="13" t="s">
        <v>1436</v>
      </c>
      <c r="D45" s="13" t="s">
        <v>1337</v>
      </c>
      <c r="E45" s="13" t="s">
        <v>1437</v>
      </c>
      <c r="F45" s="13" t="s">
        <v>1425</v>
      </c>
      <c r="G45" s="13" t="s">
        <v>1406</v>
      </c>
      <c r="H45" s="13" t="s">
        <v>622</v>
      </c>
      <c r="I45" s="13">
        <v>2003033</v>
      </c>
      <c r="J45" s="13">
        <v>0</v>
      </c>
      <c r="K45" s="13">
        <v>0</v>
      </c>
    </row>
    <row r="46" spans="1:11">
      <c r="A46" s="15" t="str">
        <f>VLOOKUP(E46,Table1[[#All],[Campo]],1,0)</f>
        <v>RWA</v>
      </c>
      <c r="B46" s="13" t="s">
        <v>1438</v>
      </c>
      <c r="C46" s="13" t="s">
        <v>1439</v>
      </c>
      <c r="D46" s="13" t="s">
        <v>1337</v>
      </c>
      <c r="E46" s="13" t="s">
        <v>1440</v>
      </c>
      <c r="F46" s="13" t="s">
        <v>1425</v>
      </c>
      <c r="G46" s="13" t="s">
        <v>1406</v>
      </c>
      <c r="H46" s="13" t="s">
        <v>622</v>
      </c>
      <c r="I46" s="13">
        <v>2003033</v>
      </c>
      <c r="J46" s="13">
        <v>0</v>
      </c>
      <c r="K46" s="13">
        <v>0</v>
      </c>
    </row>
    <row r="47" spans="1:11">
      <c r="A47" s="15" t="str">
        <f>VLOOKUP(E47,Table1[[#All],[Campo]],1,0)</f>
        <v>accmltd_imprmnt_instrmnt</v>
      </c>
      <c r="B47" s="13" t="s">
        <v>1441</v>
      </c>
      <c r="C47" s="13" t="s">
        <v>1442</v>
      </c>
      <c r="D47" s="13" t="s">
        <v>1337</v>
      </c>
      <c r="E47" s="13" t="s">
        <v>1443</v>
      </c>
      <c r="F47" s="13" t="s">
        <v>1425</v>
      </c>
      <c r="G47" s="13" t="s">
        <v>1406</v>
      </c>
      <c r="H47" s="13" t="s">
        <v>622</v>
      </c>
      <c r="I47" s="13">
        <v>2003033</v>
      </c>
      <c r="J47" s="13">
        <v>0</v>
      </c>
      <c r="K47" s="13">
        <v>0</v>
      </c>
    </row>
    <row r="48" spans="1:11">
      <c r="A48" s="15" t="e">
        <f>VLOOKUP(E48,Table1[[#All],[Campo]],1,0)</f>
        <v>#N/A</v>
      </c>
      <c r="B48" s="13" t="s">
        <v>1444</v>
      </c>
      <c r="C48" s="13" t="s">
        <v>1445</v>
      </c>
      <c r="D48" s="13" t="s">
        <v>1337</v>
      </c>
      <c r="E48" s="13" t="s">
        <v>1446</v>
      </c>
      <c r="F48" s="13" t="s">
        <v>1392</v>
      </c>
      <c r="G48" s="13" t="s">
        <v>1406</v>
      </c>
      <c r="H48" s="13" t="s">
        <v>1340</v>
      </c>
      <c r="I48" s="13">
        <v>2003033</v>
      </c>
      <c r="J48" s="13">
        <v>744</v>
      </c>
      <c r="K48" s="13">
        <v>3.7100000000000001E-2</v>
      </c>
    </row>
    <row r="49" spans="1:11">
      <c r="A49" s="15" t="str">
        <f>VLOOKUP(E49,Table1[[#All],[Campo]],1,0)</f>
        <v>lcl_instmrnt_id</v>
      </c>
      <c r="B49" s="13" t="s">
        <v>1447</v>
      </c>
      <c r="C49" s="13" t="s">
        <v>1448</v>
      </c>
      <c r="D49" s="13" t="s">
        <v>1337</v>
      </c>
      <c r="E49" s="13" t="s">
        <v>1346</v>
      </c>
      <c r="F49" s="13" t="s">
        <v>1404</v>
      </c>
      <c r="G49" s="13" t="s">
        <v>1406</v>
      </c>
      <c r="H49" s="13" t="s">
        <v>622</v>
      </c>
      <c r="I49" s="13">
        <v>2003033</v>
      </c>
      <c r="J49" s="13">
        <v>0</v>
      </c>
      <c r="K49" s="13">
        <v>0</v>
      </c>
    </row>
    <row r="50" spans="1:11">
      <c r="A50" s="15" t="str">
        <f>VLOOKUP(E50,Table1[[#All],[Campo]],1,0)</f>
        <v>sstnbl_indctr</v>
      </c>
      <c r="B50" s="13" t="s">
        <v>1449</v>
      </c>
      <c r="C50" s="13" t="s">
        <v>1450</v>
      </c>
      <c r="D50" s="13" t="s">
        <v>1337</v>
      </c>
      <c r="E50" s="13" t="s">
        <v>1349</v>
      </c>
      <c r="F50" s="13" t="s">
        <v>1392</v>
      </c>
      <c r="G50" s="13" t="s">
        <v>1406</v>
      </c>
      <c r="H50" s="13" t="s">
        <v>1340</v>
      </c>
      <c r="I50" s="13">
        <v>2003033</v>
      </c>
      <c r="J50" s="13">
        <v>2003033</v>
      </c>
      <c r="K50" s="13">
        <v>100</v>
      </c>
    </row>
    <row r="51" spans="1:11">
      <c r="A51" s="15" t="str">
        <f>VLOOKUP(E51,Table1[[#All],[Campo]],1,0)</f>
        <v>sstnbl_ctgry</v>
      </c>
      <c r="B51" s="13" t="s">
        <v>1451</v>
      </c>
      <c r="C51" s="13" t="s">
        <v>1452</v>
      </c>
      <c r="D51" s="13" t="s">
        <v>1337</v>
      </c>
      <c r="E51" s="13" t="s">
        <v>1353</v>
      </c>
      <c r="F51" s="13" t="s">
        <v>1392</v>
      </c>
      <c r="G51" s="13" t="s">
        <v>1406</v>
      </c>
      <c r="H51" s="13" t="s">
        <v>1340</v>
      </c>
      <c r="I51" s="13">
        <v>2003033</v>
      </c>
      <c r="J51" s="13">
        <v>2003033</v>
      </c>
      <c r="K51" s="13">
        <v>100</v>
      </c>
    </row>
    <row r="52" spans="1:11">
      <c r="A52" s="15" t="e">
        <f>VLOOKUP(E52,Table1[[#All],[Campo]],1,0)</f>
        <v>#N/A</v>
      </c>
      <c r="B52" s="13" t="s">
        <v>1453</v>
      </c>
      <c r="C52" s="13" t="s">
        <v>1454</v>
      </c>
      <c r="D52" s="13" t="s">
        <v>1337</v>
      </c>
      <c r="E52" s="13" t="s">
        <v>1455</v>
      </c>
      <c r="F52" s="13" t="s">
        <v>1425</v>
      </c>
      <c r="G52" s="13" t="s">
        <v>1406</v>
      </c>
      <c r="H52" s="13" t="s">
        <v>622</v>
      </c>
      <c r="I52" s="13">
        <v>2003033</v>
      </c>
      <c r="J52" s="13">
        <v>0</v>
      </c>
      <c r="K52" s="13">
        <v>0</v>
      </c>
    </row>
    <row r="53" spans="1:11">
      <c r="A53" s="15" t="str">
        <f>VLOOKUP(E53,Table1[[#All],[Campo]],1,0)</f>
        <v>NW_BSNSS</v>
      </c>
      <c r="B53" s="13" t="s">
        <v>1456</v>
      </c>
      <c r="C53" s="13" t="s">
        <v>1457</v>
      </c>
      <c r="D53" s="13" t="s">
        <v>1337</v>
      </c>
      <c r="E53" s="13" t="s">
        <v>1356</v>
      </c>
      <c r="F53" s="13" t="s">
        <v>1392</v>
      </c>
      <c r="G53" s="13" t="s">
        <v>1406</v>
      </c>
      <c r="H53" s="13" t="s">
        <v>1340</v>
      </c>
      <c r="I53" s="13">
        <v>2003033</v>
      </c>
      <c r="J53" s="13">
        <v>2003033</v>
      </c>
      <c r="K53" s="13">
        <v>100</v>
      </c>
    </row>
    <row r="54" spans="1:11">
      <c r="A54" s="15" t="str">
        <f>VLOOKUP(E54,Table1[[#All],[Campo]],1,0)</f>
        <v>grss_intrst_incm</v>
      </c>
      <c r="B54" s="13" t="s">
        <v>1458</v>
      </c>
      <c r="C54" s="13" t="s">
        <v>1459</v>
      </c>
      <c r="D54" s="13" t="s">
        <v>1337</v>
      </c>
      <c r="E54" s="13" t="s">
        <v>1460</v>
      </c>
      <c r="F54" s="13" t="s">
        <v>1425</v>
      </c>
      <c r="G54" s="13" t="s">
        <v>1406</v>
      </c>
      <c r="H54" s="13" t="s">
        <v>622</v>
      </c>
      <c r="I54" s="13">
        <v>2003033</v>
      </c>
      <c r="J54" s="13">
        <v>0</v>
      </c>
      <c r="K54" s="13">
        <v>0</v>
      </c>
    </row>
    <row r="55" spans="1:11">
      <c r="A55" s="15" t="s">
        <v>1461</v>
      </c>
      <c r="B55" s="13" t="s">
        <v>1462</v>
      </c>
      <c r="C55" s="13" t="s">
        <v>1463</v>
      </c>
      <c r="D55" s="13" t="s">
        <v>1337</v>
      </c>
      <c r="E55" s="13" t="s">
        <v>1464</v>
      </c>
      <c r="F55" s="13" t="s">
        <v>1425</v>
      </c>
      <c r="G55" s="13" t="s">
        <v>1406</v>
      </c>
      <c r="H55" s="13" t="s">
        <v>622</v>
      </c>
      <c r="I55" s="13">
        <v>2003033</v>
      </c>
      <c r="J55" s="13">
        <v>0</v>
      </c>
      <c r="K55" s="13">
        <v>0</v>
      </c>
    </row>
    <row r="56" spans="1:11">
      <c r="A56" s="15" t="e">
        <f>VLOOKUP(E56,Table1[[#All],[Campo]],1,0)</f>
        <v>#N/A</v>
      </c>
      <c r="B56" s="13" t="s">
        <v>1465</v>
      </c>
      <c r="C56" s="13" t="s">
        <v>1466</v>
      </c>
      <c r="D56" s="13" t="s">
        <v>1337</v>
      </c>
      <c r="E56" s="13" t="s">
        <v>1467</v>
      </c>
      <c r="F56" s="13" t="s">
        <v>1425</v>
      </c>
      <c r="G56" s="13" t="s">
        <v>1406</v>
      </c>
      <c r="H56" s="13" t="s">
        <v>622</v>
      </c>
      <c r="I56" s="13">
        <v>2003033</v>
      </c>
      <c r="J56" s="13">
        <v>0</v>
      </c>
      <c r="K56" s="13">
        <v>0</v>
      </c>
    </row>
    <row r="57" spans="1:11">
      <c r="A57" s="15" t="e">
        <f>VLOOKUP(E57,Table1[[#All],[Campo]],1,0)</f>
        <v>#N/A</v>
      </c>
      <c r="B57" s="13" t="s">
        <v>1468</v>
      </c>
      <c r="C57" s="13" t="s">
        <v>1469</v>
      </c>
      <c r="D57" s="13" t="s">
        <v>1337</v>
      </c>
      <c r="E57" s="13" t="s">
        <v>1470</v>
      </c>
      <c r="F57" s="13" t="s">
        <v>1425</v>
      </c>
      <c r="G57" s="13" t="s">
        <v>1406</v>
      </c>
      <c r="H57" s="13" t="s">
        <v>622</v>
      </c>
      <c r="I57" s="13">
        <v>2003033</v>
      </c>
      <c r="J57" s="13">
        <v>0</v>
      </c>
      <c r="K57" s="13">
        <v>0</v>
      </c>
    </row>
    <row r="58" spans="1:11">
      <c r="A58" s="15" t="e">
        <f>VLOOKUP(E58,Table1[[#All],[Campo]],1,0)</f>
        <v>#N/A</v>
      </c>
      <c r="B58" s="13" t="s">
        <v>1471</v>
      </c>
      <c r="C58" s="13" t="s">
        <v>1472</v>
      </c>
      <c r="D58" s="13" t="s">
        <v>1337</v>
      </c>
      <c r="E58" s="13" t="s">
        <v>1359</v>
      </c>
      <c r="F58" s="13" t="s">
        <v>1392</v>
      </c>
      <c r="G58" s="13" t="s">
        <v>1406</v>
      </c>
      <c r="H58" s="13" t="s">
        <v>1340</v>
      </c>
      <c r="I58" s="13">
        <v>2003033</v>
      </c>
      <c r="J58" s="13">
        <v>2003033</v>
      </c>
      <c r="K58" s="13">
        <v>100</v>
      </c>
    </row>
    <row r="59" spans="1:11">
      <c r="A59" s="15" t="e">
        <f>VLOOKUP(E59,Table1[[#All],[Campo]],1,0)</f>
        <v>#N/A</v>
      </c>
      <c r="B59" s="13" t="s">
        <v>1473</v>
      </c>
      <c r="C59" s="13" t="s">
        <v>1474</v>
      </c>
      <c r="D59" s="13" t="s">
        <v>1337</v>
      </c>
      <c r="E59" s="13" t="s">
        <v>1475</v>
      </c>
      <c r="F59" s="13" t="s">
        <v>1392</v>
      </c>
      <c r="G59" s="13" t="s">
        <v>1406</v>
      </c>
      <c r="H59" s="13" t="s">
        <v>1340</v>
      </c>
      <c r="I59" s="13">
        <v>2003033</v>
      </c>
      <c r="J59" s="13">
        <v>2003033</v>
      </c>
      <c r="K59" s="13">
        <v>100</v>
      </c>
    </row>
    <row r="60" spans="1:11">
      <c r="A60" s="15" t="s">
        <v>1476</v>
      </c>
      <c r="B60" s="13" t="s">
        <v>1477</v>
      </c>
      <c r="C60" s="13" t="s">
        <v>1478</v>
      </c>
      <c r="D60" s="13" t="s">
        <v>1337</v>
      </c>
      <c r="E60" s="13" t="s">
        <v>1479</v>
      </c>
      <c r="F60" s="13" t="s">
        <v>1425</v>
      </c>
      <c r="G60" s="13" t="s">
        <v>1406</v>
      </c>
      <c r="H60" s="13" t="s">
        <v>622</v>
      </c>
      <c r="I60" s="13">
        <v>2003033</v>
      </c>
      <c r="J60" s="13">
        <v>0</v>
      </c>
      <c r="K60" s="13">
        <v>0</v>
      </c>
    </row>
    <row r="61" spans="1:11">
      <c r="A61" s="15" t="e">
        <f>VLOOKUP(E61,Table1[[#All],[Campo]],1,0)</f>
        <v>#N/A</v>
      </c>
      <c r="B61" s="13" t="s">
        <v>1480</v>
      </c>
      <c r="C61" s="13" t="s">
        <v>1481</v>
      </c>
      <c r="D61" s="13" t="s">
        <v>1337</v>
      </c>
      <c r="E61" s="13" t="s">
        <v>1482</v>
      </c>
      <c r="F61" s="13" t="s">
        <v>1425</v>
      </c>
      <c r="G61" s="13" t="s">
        <v>1406</v>
      </c>
      <c r="H61" s="13" t="s">
        <v>622</v>
      </c>
      <c r="I61" s="13">
        <v>2003033</v>
      </c>
      <c r="J61" s="13">
        <v>0</v>
      </c>
      <c r="K61" s="13">
        <v>0</v>
      </c>
    </row>
    <row r="62" spans="1:11">
      <c r="A62" s="15" t="e">
        <f>VLOOKUP(E62,Table1[[#All],[Campo]],1,0)</f>
        <v>#N/A</v>
      </c>
      <c r="B62" s="13" t="s">
        <v>1483</v>
      </c>
      <c r="C62" s="13" t="s">
        <v>1484</v>
      </c>
      <c r="D62" s="13" t="s">
        <v>1337</v>
      </c>
      <c r="E62" s="13" t="s">
        <v>1362</v>
      </c>
      <c r="F62" s="13" t="s">
        <v>1392</v>
      </c>
      <c r="G62" s="13" t="s">
        <v>1406</v>
      </c>
      <c r="H62" s="13" t="s">
        <v>1340</v>
      </c>
      <c r="I62" s="13">
        <v>2003033</v>
      </c>
      <c r="J62" s="13">
        <v>2003033</v>
      </c>
      <c r="K62" s="13">
        <v>100</v>
      </c>
    </row>
    <row r="63" spans="1:11">
      <c r="A63" s="15" t="e">
        <f>VLOOKUP(E63,Table1[[#All],[Campo]],1,0)</f>
        <v>#N/A</v>
      </c>
      <c r="B63" s="13" t="s">
        <v>1485</v>
      </c>
      <c r="C63" s="13" t="s">
        <v>1486</v>
      </c>
      <c r="D63" s="13" t="s">
        <v>1337</v>
      </c>
      <c r="E63" s="13" t="s">
        <v>1487</v>
      </c>
      <c r="F63" s="13" t="s">
        <v>1392</v>
      </c>
      <c r="G63" s="13" t="s">
        <v>1406</v>
      </c>
      <c r="H63" s="13" t="s">
        <v>1340</v>
      </c>
      <c r="I63" s="13">
        <v>2003033</v>
      </c>
      <c r="J63" s="13">
        <v>2003033</v>
      </c>
      <c r="K63" s="13">
        <v>100</v>
      </c>
    </row>
    <row r="64" spans="1:11">
      <c r="A64" s="15" t="e">
        <f>VLOOKUP(E64,Table1[[#All],[Campo]],1,0)</f>
        <v>#N/A</v>
      </c>
      <c r="B64" s="13" t="s">
        <v>1488</v>
      </c>
      <c r="C64" s="13" t="s">
        <v>1489</v>
      </c>
      <c r="D64" s="13" t="s">
        <v>1337</v>
      </c>
      <c r="E64" s="13" t="s">
        <v>1490</v>
      </c>
      <c r="F64" s="13" t="s">
        <v>1392</v>
      </c>
      <c r="G64" s="13" t="s">
        <v>1406</v>
      </c>
      <c r="H64" s="13" t="s">
        <v>1340</v>
      </c>
      <c r="I64" s="13">
        <v>2003033</v>
      </c>
      <c r="J64" s="13">
        <v>2003033</v>
      </c>
      <c r="K64" s="13">
        <v>100</v>
      </c>
    </row>
    <row r="65" spans="1:11">
      <c r="A65" s="15" t="e">
        <f>VLOOKUP(E65,Table1[[#All],[Campo]],1,0)</f>
        <v>#N/A</v>
      </c>
      <c r="B65" s="13" t="s">
        <v>1491</v>
      </c>
      <c r="C65" s="13" t="s">
        <v>1492</v>
      </c>
      <c r="D65" s="13" t="s">
        <v>1337</v>
      </c>
      <c r="E65" s="13" t="s">
        <v>1493</v>
      </c>
      <c r="F65" s="13" t="s">
        <v>1392</v>
      </c>
      <c r="G65" s="13" t="s">
        <v>1406</v>
      </c>
      <c r="H65" s="13" t="s">
        <v>1340</v>
      </c>
      <c r="I65" s="13">
        <v>2003033</v>
      </c>
      <c r="J65" s="13">
        <v>2003033</v>
      </c>
      <c r="K65" s="13">
        <v>100</v>
      </c>
    </row>
    <row r="66" spans="1:11">
      <c r="A66" s="15" t="e">
        <f>VLOOKUP(E66,Table1[[#All],[Campo]],1,0)</f>
        <v>#N/A</v>
      </c>
      <c r="B66" s="13" t="s">
        <v>1494</v>
      </c>
      <c r="C66" s="13" t="s">
        <v>1495</v>
      </c>
      <c r="D66" s="13" t="s">
        <v>1337</v>
      </c>
      <c r="E66" s="13" t="s">
        <v>1496</v>
      </c>
      <c r="F66" s="13" t="s">
        <v>1425</v>
      </c>
      <c r="G66" s="13" t="s">
        <v>1406</v>
      </c>
      <c r="H66" s="13" t="s">
        <v>622</v>
      </c>
      <c r="I66" s="13">
        <v>2003033</v>
      </c>
      <c r="J66" s="13">
        <v>0</v>
      </c>
      <c r="K66" s="13">
        <v>0</v>
      </c>
    </row>
    <row r="67" spans="1:11">
      <c r="A67" s="15" t="e">
        <f>VLOOKUP(E67,Table1[[#All],[Campo]],1,0)</f>
        <v>#N/A</v>
      </c>
      <c r="B67" s="13" t="s">
        <v>1497</v>
      </c>
      <c r="C67" s="13" t="s">
        <v>1498</v>
      </c>
      <c r="D67" s="13" t="s">
        <v>1337</v>
      </c>
      <c r="E67" s="13" t="s">
        <v>1499</v>
      </c>
      <c r="F67" s="13" t="s">
        <v>1425</v>
      </c>
      <c r="G67" s="13" t="s">
        <v>1406</v>
      </c>
      <c r="H67" s="13" t="s">
        <v>622</v>
      </c>
      <c r="I67" s="13">
        <v>2003033</v>
      </c>
      <c r="J67" s="13">
        <v>0</v>
      </c>
      <c r="K67" s="13">
        <v>0</v>
      </c>
    </row>
    <row r="68" spans="1:11">
      <c r="A68" s="15" t="s">
        <v>1500</v>
      </c>
      <c r="B68" s="13" t="s">
        <v>1501</v>
      </c>
      <c r="C68" s="13" t="s">
        <v>1502</v>
      </c>
      <c r="D68" s="13" t="s">
        <v>1337</v>
      </c>
      <c r="E68" s="13" t="s">
        <v>1503</v>
      </c>
      <c r="F68" s="13" t="s">
        <v>1425</v>
      </c>
      <c r="G68" s="13" t="s">
        <v>1406</v>
      </c>
      <c r="H68" s="13" t="s">
        <v>622</v>
      </c>
      <c r="I68" s="13">
        <v>2003033</v>
      </c>
      <c r="J68" s="13">
        <v>0</v>
      </c>
      <c r="K68" s="13">
        <v>0</v>
      </c>
    </row>
    <row r="69" spans="1:11">
      <c r="A69" s="15" t="s">
        <v>1504</v>
      </c>
      <c r="B69" s="13" t="s">
        <v>1505</v>
      </c>
      <c r="C69" s="13" t="s">
        <v>1506</v>
      </c>
      <c r="D69" s="13" t="s">
        <v>1337</v>
      </c>
      <c r="E69" s="13" t="s">
        <v>1507</v>
      </c>
      <c r="F69" s="13" t="s">
        <v>1425</v>
      </c>
      <c r="G69" s="13" t="s">
        <v>1406</v>
      </c>
      <c r="H69" s="13" t="s">
        <v>622</v>
      </c>
      <c r="I69" s="13">
        <v>2003033</v>
      </c>
      <c r="J69" s="13">
        <v>0</v>
      </c>
      <c r="K69" s="13">
        <v>0</v>
      </c>
    </row>
    <row r="70" spans="1:11">
      <c r="A70" s="15" t="e">
        <f>VLOOKUP(E70,Table1[[#All],[Campo]],1,0)</f>
        <v>#N/A</v>
      </c>
      <c r="B70" s="13" t="s">
        <v>1508</v>
      </c>
      <c r="C70" s="13" t="s">
        <v>1509</v>
      </c>
      <c r="D70" s="13" t="s">
        <v>1337</v>
      </c>
      <c r="E70" s="13" t="s">
        <v>1510</v>
      </c>
      <c r="F70" s="13" t="s">
        <v>1425</v>
      </c>
      <c r="G70" s="13" t="s">
        <v>1406</v>
      </c>
      <c r="H70" s="13" t="s">
        <v>622</v>
      </c>
      <c r="I70" s="13">
        <v>2003033</v>
      </c>
      <c r="J70" s="13">
        <v>0</v>
      </c>
      <c r="K70" s="13">
        <v>0</v>
      </c>
    </row>
    <row r="71" spans="1:11">
      <c r="A71" s="15" t="e">
        <f>VLOOKUP(E71,Table1[[#All],[Campo]],1,0)</f>
        <v>#N/A</v>
      </c>
      <c r="B71" s="13" t="s">
        <v>1511</v>
      </c>
      <c r="C71" s="13" t="s">
        <v>1512</v>
      </c>
      <c r="D71" s="13" t="s">
        <v>1337</v>
      </c>
      <c r="E71" s="13" t="s">
        <v>1513</v>
      </c>
      <c r="F71" s="13" t="s">
        <v>1425</v>
      </c>
      <c r="G71" s="13" t="s">
        <v>1406</v>
      </c>
      <c r="H71" s="13" t="s">
        <v>622</v>
      </c>
      <c r="I71" s="13">
        <v>2003033</v>
      </c>
      <c r="J71" s="13">
        <v>0</v>
      </c>
      <c r="K71" s="13">
        <v>0</v>
      </c>
    </row>
    <row r="72" spans="1:11">
      <c r="A72" s="15" t="e">
        <f>VLOOKUP(E72,Table1[[#All],[Campo]],1,0)</f>
        <v>#N/A</v>
      </c>
      <c r="B72" s="13" t="s">
        <v>1514</v>
      </c>
      <c r="C72" s="13" t="s">
        <v>1515</v>
      </c>
      <c r="D72" s="13" t="s">
        <v>1337</v>
      </c>
      <c r="E72" s="13" t="s">
        <v>1516</v>
      </c>
      <c r="F72" s="13" t="s">
        <v>1425</v>
      </c>
      <c r="G72" s="13" t="s">
        <v>1406</v>
      </c>
      <c r="H72" s="13" t="s">
        <v>622</v>
      </c>
      <c r="I72" s="13">
        <v>2003033</v>
      </c>
      <c r="J72" s="13">
        <v>0</v>
      </c>
      <c r="K72" s="13">
        <v>0</v>
      </c>
    </row>
    <row r="73" spans="1:11">
      <c r="A73" s="15" t="e">
        <f>VLOOKUP(E73,Table1[[#All],[Campo]],1,0)</f>
        <v>#N/A</v>
      </c>
      <c r="B73" s="13" t="s">
        <v>1517</v>
      </c>
      <c r="C73" s="13" t="s">
        <v>1518</v>
      </c>
      <c r="D73" s="13" t="s">
        <v>1337</v>
      </c>
      <c r="E73" s="13" t="s">
        <v>1519</v>
      </c>
      <c r="F73" s="13" t="s">
        <v>1425</v>
      </c>
      <c r="G73" s="13" t="s">
        <v>1406</v>
      </c>
      <c r="H73" s="13" t="s">
        <v>622</v>
      </c>
      <c r="I73" s="13">
        <v>2003033</v>
      </c>
      <c r="J73" s="13">
        <v>0</v>
      </c>
      <c r="K73" s="13">
        <v>0</v>
      </c>
    </row>
    <row r="74" spans="1:11">
      <c r="A74" s="15" t="e">
        <f>VLOOKUP(E74,Table1[[#All],[Campo]],1,0)</f>
        <v>#N/A</v>
      </c>
      <c r="B74" s="13" t="s">
        <v>1520</v>
      </c>
      <c r="C74" s="13" t="s">
        <v>1521</v>
      </c>
      <c r="D74" s="13" t="s">
        <v>1337</v>
      </c>
      <c r="E74" s="13" t="s">
        <v>1522</v>
      </c>
      <c r="F74" s="13" t="s">
        <v>1425</v>
      </c>
      <c r="G74" s="13" t="s">
        <v>1406</v>
      </c>
      <c r="H74" s="13" t="s">
        <v>622</v>
      </c>
      <c r="I74" s="13">
        <v>2003033</v>
      </c>
      <c r="J74" s="13">
        <v>0</v>
      </c>
      <c r="K74" s="13">
        <v>0</v>
      </c>
    </row>
    <row r="75" spans="1:11">
      <c r="A75" s="15" t="s">
        <v>1523</v>
      </c>
      <c r="B75" s="13" t="s">
        <v>1524</v>
      </c>
      <c r="C75" s="13" t="s">
        <v>1525</v>
      </c>
      <c r="D75" s="13" t="s">
        <v>1337</v>
      </c>
      <c r="E75" s="13" t="s">
        <v>1526</v>
      </c>
      <c r="F75" s="13" t="s">
        <v>1425</v>
      </c>
      <c r="G75" s="13" t="s">
        <v>1406</v>
      </c>
      <c r="H75" s="13" t="s">
        <v>622</v>
      </c>
      <c r="I75" s="13">
        <v>2003033</v>
      </c>
      <c r="J75" s="13">
        <v>0</v>
      </c>
      <c r="K75" s="13">
        <v>0</v>
      </c>
    </row>
    <row r="76" spans="1:11">
      <c r="A76" s="15" t="s">
        <v>1527</v>
      </c>
      <c r="B76" s="13" t="s">
        <v>1528</v>
      </c>
      <c r="C76" s="13" t="s">
        <v>1529</v>
      </c>
      <c r="D76" s="13" t="s">
        <v>1337</v>
      </c>
      <c r="E76" s="13" t="s">
        <v>1530</v>
      </c>
      <c r="F76" s="13" t="s">
        <v>1425</v>
      </c>
      <c r="G76" s="13" t="s">
        <v>1406</v>
      </c>
      <c r="H76" s="13" t="s">
        <v>622</v>
      </c>
      <c r="I76" s="13">
        <v>2003033</v>
      </c>
      <c r="J76" s="13">
        <v>0</v>
      </c>
      <c r="K76" s="13">
        <v>0</v>
      </c>
    </row>
    <row r="77" spans="1:11">
      <c r="A77" s="15" t="e">
        <f>VLOOKUP(E77,Table1[[#All],[Campo]],1,0)</f>
        <v>#N/A</v>
      </c>
      <c r="B77" s="13" t="s">
        <v>1531</v>
      </c>
      <c r="C77" s="13" t="s">
        <v>1532</v>
      </c>
      <c r="D77" s="13" t="s">
        <v>1337</v>
      </c>
      <c r="E77" s="13" t="s">
        <v>1533</v>
      </c>
      <c r="F77" s="13" t="s">
        <v>1425</v>
      </c>
      <c r="G77" s="13" t="s">
        <v>1406</v>
      </c>
      <c r="H77" s="13" t="s">
        <v>622</v>
      </c>
      <c r="I77" s="13">
        <v>2003033</v>
      </c>
      <c r="J77" s="13">
        <v>0</v>
      </c>
      <c r="K77" s="13">
        <v>0</v>
      </c>
    </row>
    <row r="78" spans="1:11">
      <c r="A78" s="15" t="e">
        <f>VLOOKUP(E78,Table1[[#All],[Campo]],1,0)</f>
        <v>#N/A</v>
      </c>
      <c r="B78" s="13" t="s">
        <v>1534</v>
      </c>
      <c r="C78" s="13" t="s">
        <v>1535</v>
      </c>
      <c r="D78" s="13" t="s">
        <v>1337</v>
      </c>
      <c r="E78" s="13" t="s">
        <v>1365</v>
      </c>
      <c r="F78" s="13" t="s">
        <v>1392</v>
      </c>
      <c r="G78" s="13" t="s">
        <v>1406</v>
      </c>
      <c r="H78" s="13" t="s">
        <v>1340</v>
      </c>
      <c r="I78" s="13">
        <v>2003033</v>
      </c>
      <c r="J78" s="13">
        <v>2003033</v>
      </c>
      <c r="K78" s="13">
        <v>100</v>
      </c>
    </row>
    <row r="79" spans="1:11">
      <c r="A79" s="15" t="s">
        <v>1536</v>
      </c>
      <c r="B79" s="13" t="s">
        <v>1537</v>
      </c>
      <c r="C79" s="13" t="s">
        <v>1538</v>
      </c>
      <c r="D79" s="13" t="s">
        <v>1337</v>
      </c>
      <c r="E79" s="13" t="s">
        <v>1539</v>
      </c>
      <c r="F79" s="13" t="s">
        <v>1425</v>
      </c>
      <c r="G79" s="13" t="s">
        <v>1406</v>
      </c>
      <c r="H79" s="13" t="s">
        <v>622</v>
      </c>
      <c r="I79" s="13">
        <v>2003033</v>
      </c>
      <c r="J79" s="13">
        <v>0</v>
      </c>
      <c r="K79" s="13">
        <v>0</v>
      </c>
    </row>
    <row r="80" spans="1:11">
      <c r="A80" s="15" t="s">
        <v>1540</v>
      </c>
      <c r="B80" s="13" t="s">
        <v>1541</v>
      </c>
      <c r="C80" s="13" t="s">
        <v>1542</v>
      </c>
      <c r="D80" s="13" t="s">
        <v>1337</v>
      </c>
      <c r="E80" s="13" t="s">
        <v>1543</v>
      </c>
      <c r="F80" s="13" t="s">
        <v>1425</v>
      </c>
      <c r="G80" s="13" t="s">
        <v>1406</v>
      </c>
      <c r="H80" s="13" t="s">
        <v>622</v>
      </c>
      <c r="I80" s="13">
        <v>2003033</v>
      </c>
      <c r="J80" s="13">
        <v>0</v>
      </c>
      <c r="K80" s="13">
        <v>0</v>
      </c>
    </row>
    <row r="81" spans="1:11">
      <c r="A81" s="15" t="s">
        <v>1366</v>
      </c>
      <c r="B81" s="13" t="s">
        <v>1544</v>
      </c>
      <c r="C81" s="13" t="s">
        <v>1545</v>
      </c>
      <c r="D81" s="13" t="s">
        <v>1337</v>
      </c>
      <c r="E81" s="13" t="s">
        <v>1369</v>
      </c>
      <c r="F81" s="13" t="s">
        <v>1392</v>
      </c>
      <c r="G81" s="13" t="s">
        <v>1406</v>
      </c>
      <c r="H81" s="13" t="s">
        <v>1340</v>
      </c>
      <c r="I81" s="13">
        <v>2003033</v>
      </c>
      <c r="J81" s="13">
        <v>2003033</v>
      </c>
      <c r="K81" s="13">
        <v>100</v>
      </c>
    </row>
    <row r="82" spans="1:11">
      <c r="A82" s="15" t="str">
        <f>VLOOKUP(E82,Table1[[#All],[Campo]],1,0)</f>
        <v>idcmb</v>
      </c>
      <c r="B82" s="13" t="s">
        <v>1546</v>
      </c>
      <c r="C82" s="13" t="s">
        <v>1547</v>
      </c>
      <c r="D82" s="13" t="s">
        <v>1337</v>
      </c>
      <c r="E82" s="13" t="s">
        <v>1372</v>
      </c>
      <c r="F82" s="13" t="s">
        <v>1392</v>
      </c>
      <c r="G82" s="13" t="s">
        <v>1406</v>
      </c>
      <c r="H82" s="13" t="s">
        <v>1340</v>
      </c>
      <c r="I82" s="13">
        <v>2003033</v>
      </c>
      <c r="J82" s="13">
        <v>2003033</v>
      </c>
      <c r="K82" s="13">
        <v>100</v>
      </c>
    </row>
    <row r="83" spans="1:11">
      <c r="A83" s="15" t="str">
        <f>VLOOKUP(E83,Table1[[#All],[Campo]],1,0)</f>
        <v>cod_soc</v>
      </c>
      <c r="B83" s="13" t="s">
        <v>1548</v>
      </c>
      <c r="C83" s="13" t="s">
        <v>1390</v>
      </c>
      <c r="D83" s="13" t="s">
        <v>1388</v>
      </c>
      <c r="E83" s="13" t="s">
        <v>1315</v>
      </c>
      <c r="F83" s="13" t="s">
        <v>1392</v>
      </c>
      <c r="G83" s="13" t="s">
        <v>1549</v>
      </c>
      <c r="H83" s="13" t="s">
        <v>622</v>
      </c>
      <c r="I83" s="13">
        <v>731165</v>
      </c>
      <c r="J83" s="13">
        <v>0</v>
      </c>
      <c r="K83" s="13">
        <v>0</v>
      </c>
    </row>
    <row r="84" spans="1:11">
      <c r="A84" s="15" t="str">
        <f>VLOOKUP(E84,Table1[[#All],[Campo]],1,0)</f>
        <v>dt_rfrnc</v>
      </c>
      <c r="B84" s="13" t="s">
        <v>1550</v>
      </c>
      <c r="C84" s="13" t="s">
        <v>1401</v>
      </c>
      <c r="D84" s="13" t="s">
        <v>1388</v>
      </c>
      <c r="E84" s="13" t="s">
        <v>1320</v>
      </c>
      <c r="F84" s="13" t="s">
        <v>1396</v>
      </c>
      <c r="G84" s="13" t="s">
        <v>1549</v>
      </c>
      <c r="H84" s="13" t="s">
        <v>622</v>
      </c>
      <c r="I84" s="13">
        <v>731165</v>
      </c>
      <c r="J84" s="13">
        <v>0</v>
      </c>
      <c r="K84" s="13">
        <v>0</v>
      </c>
    </row>
    <row r="85" spans="1:11">
      <c r="A85" s="15" t="str">
        <f>VLOOKUP(E85,Table1[[#All],[Campo]],1,0)</f>
        <v>instrmnt_id</v>
      </c>
      <c r="B85" s="13" t="s">
        <v>1551</v>
      </c>
      <c r="C85" s="13" t="s">
        <v>1403</v>
      </c>
      <c r="D85" s="13" t="s">
        <v>1388</v>
      </c>
      <c r="E85" s="13" t="s">
        <v>1329</v>
      </c>
      <c r="F85" s="13" t="s">
        <v>1404</v>
      </c>
      <c r="G85" s="13" t="s">
        <v>1549</v>
      </c>
      <c r="H85" s="13" t="s">
        <v>622</v>
      </c>
      <c r="I85" s="13">
        <v>731165</v>
      </c>
      <c r="J85" s="13">
        <v>0</v>
      </c>
      <c r="K85" s="13">
        <v>0</v>
      </c>
    </row>
    <row r="86" spans="1:11">
      <c r="A86" s="15" t="str">
        <f>VLOOKUP(E86,Table1[[#All],[Campo]],1,0)</f>
        <v>cod_soc</v>
      </c>
      <c r="B86" s="13" t="s">
        <v>1552</v>
      </c>
      <c r="C86" s="13" t="s">
        <v>1390</v>
      </c>
      <c r="D86" s="13" t="s">
        <v>1553</v>
      </c>
      <c r="E86" s="13" t="s">
        <v>1315</v>
      </c>
      <c r="F86" s="13" t="s">
        <v>1392</v>
      </c>
      <c r="G86" s="13" t="s">
        <v>1554</v>
      </c>
      <c r="H86" s="13" t="s">
        <v>622</v>
      </c>
      <c r="I86" s="13">
        <v>456960</v>
      </c>
      <c r="J86" s="13">
        <v>0</v>
      </c>
      <c r="K86" s="13">
        <v>0</v>
      </c>
    </row>
    <row r="87" spans="1:11">
      <c r="A87" s="15" t="str">
        <f>VLOOKUP(E87,Table1[[#All],[Campo]],1,0)</f>
        <v>dt_rfrnc</v>
      </c>
      <c r="B87" s="13" t="s">
        <v>1555</v>
      </c>
      <c r="C87" s="13" t="s">
        <v>1401</v>
      </c>
      <c r="D87" s="13" t="s">
        <v>1553</v>
      </c>
      <c r="E87" s="13" t="s">
        <v>1320</v>
      </c>
      <c r="F87" s="13" t="s">
        <v>1396</v>
      </c>
      <c r="G87" s="13" t="s">
        <v>1554</v>
      </c>
      <c r="H87" s="13" t="s">
        <v>622</v>
      </c>
      <c r="I87" s="13">
        <v>456960</v>
      </c>
      <c r="J87" s="13">
        <v>0</v>
      </c>
      <c r="K87" s="13">
        <v>0</v>
      </c>
    </row>
    <row r="88" spans="1:11">
      <c r="A88" s="15" t="str">
        <f>VLOOKUP(E88,Table1[[#All],[Campo]],1,0)</f>
        <v>instrmnt_id</v>
      </c>
      <c r="B88" s="13" t="s">
        <v>1556</v>
      </c>
      <c r="C88" s="13" t="s">
        <v>1557</v>
      </c>
      <c r="D88" s="13" t="s">
        <v>1398</v>
      </c>
      <c r="E88" s="13" t="s">
        <v>1329</v>
      </c>
      <c r="F88" s="13" t="s">
        <v>1558</v>
      </c>
      <c r="G88" s="13" t="s">
        <v>1559</v>
      </c>
      <c r="H88" s="13" t="s">
        <v>622</v>
      </c>
      <c r="I88" s="13">
        <v>2490665</v>
      </c>
      <c r="J88" s="13">
        <v>0</v>
      </c>
      <c r="K88" s="13">
        <v>0</v>
      </c>
    </row>
    <row r="89" spans="1:11">
      <c r="A89" s="15" t="str">
        <f>VLOOKUP(E89,Table1[[#All],[Campo]],1,0)</f>
        <v>typ_instrmnt</v>
      </c>
      <c r="B89" s="13" t="s">
        <v>1560</v>
      </c>
      <c r="C89" s="13" t="s">
        <v>1561</v>
      </c>
      <c r="D89" s="13" t="s">
        <v>1337</v>
      </c>
      <c r="E89" s="13" t="s">
        <v>1421</v>
      </c>
      <c r="F89" s="13" t="s">
        <v>1558</v>
      </c>
      <c r="G89" s="13" t="s">
        <v>1559</v>
      </c>
      <c r="H89" s="13" t="s">
        <v>622</v>
      </c>
      <c r="I89" s="13">
        <v>2001306</v>
      </c>
      <c r="J89" s="13">
        <v>0</v>
      </c>
      <c r="K89" s="13">
        <v>0</v>
      </c>
    </row>
    <row r="90" spans="1:11">
      <c r="A90" s="15" t="str">
        <f>VLOOKUP(E90,Table1[[#All],[Campo]],1,0)</f>
        <v>instrmnt_id</v>
      </c>
      <c r="B90" s="13" t="s">
        <v>1562</v>
      </c>
      <c r="C90" s="13" t="s">
        <v>1563</v>
      </c>
      <c r="D90" s="13" t="s">
        <v>1388</v>
      </c>
      <c r="E90" s="13" t="s">
        <v>1329</v>
      </c>
      <c r="F90" s="13" t="s">
        <v>1558</v>
      </c>
      <c r="G90" s="13" t="s">
        <v>1559</v>
      </c>
      <c r="H90" s="13" t="s">
        <v>622</v>
      </c>
      <c r="I90" s="13">
        <v>731165</v>
      </c>
      <c r="J90" s="13">
        <v>0</v>
      </c>
      <c r="K90" s="13">
        <v>0</v>
      </c>
    </row>
    <row r="91" spans="1:11">
      <c r="A91" s="15" t="str">
        <f>VLOOKUP(E91,Table1[[#All],[Campo]],1,0)</f>
        <v>dt_rfrnc</v>
      </c>
      <c r="B91" s="13" t="s">
        <v>1564</v>
      </c>
      <c r="C91" s="13" t="s">
        <v>1565</v>
      </c>
      <c r="D91" s="13" t="s">
        <v>1314</v>
      </c>
      <c r="E91" s="13" t="s">
        <v>1320</v>
      </c>
      <c r="F91" s="13" t="s">
        <v>1566</v>
      </c>
      <c r="G91" s="13" t="s">
        <v>1567</v>
      </c>
      <c r="H91" s="13" t="s">
        <v>622</v>
      </c>
      <c r="I91" s="13">
        <v>1096295</v>
      </c>
      <c r="J91" s="13">
        <v>0</v>
      </c>
      <c r="K91" s="13">
        <v>0</v>
      </c>
    </row>
    <row r="92" spans="1:11">
      <c r="A92" s="15" t="str">
        <f>VLOOKUP(E92,Table1[[#All],[Campo]],1,0)</f>
        <v>dt_rfrnc</v>
      </c>
      <c r="B92" s="13" t="s">
        <v>1568</v>
      </c>
      <c r="C92" s="13" t="s">
        <v>1569</v>
      </c>
      <c r="D92" s="13" t="s">
        <v>1323</v>
      </c>
      <c r="E92" s="13" t="s">
        <v>1320</v>
      </c>
      <c r="F92" s="13" t="s">
        <v>1566</v>
      </c>
      <c r="G92" s="13" t="s">
        <v>1570</v>
      </c>
      <c r="H92" s="13" t="s">
        <v>622</v>
      </c>
      <c r="I92" s="13">
        <v>2490665</v>
      </c>
      <c r="J92" s="13">
        <v>0</v>
      </c>
      <c r="K92" s="13">
        <v>0</v>
      </c>
    </row>
    <row r="93" spans="1:11">
      <c r="A93" s="15" t="str">
        <f>VLOOKUP(E93,Table1[[#All],[Campo]],1,0)</f>
        <v>dt_rfrnc</v>
      </c>
      <c r="B93" s="13" t="s">
        <v>1571</v>
      </c>
      <c r="C93" s="13" t="s">
        <v>1569</v>
      </c>
      <c r="D93" s="13" t="s">
        <v>1331</v>
      </c>
      <c r="E93" s="13" t="s">
        <v>1320</v>
      </c>
      <c r="F93" s="13" t="s">
        <v>1566</v>
      </c>
      <c r="G93" s="13" t="s">
        <v>1572</v>
      </c>
      <c r="H93" s="13" t="s">
        <v>622</v>
      </c>
      <c r="I93" s="13">
        <v>2002411</v>
      </c>
      <c r="J93" s="13">
        <v>0</v>
      </c>
      <c r="K93" s="13">
        <v>0</v>
      </c>
    </row>
    <row r="94" spans="1:11">
      <c r="A94" s="15" t="str">
        <f>VLOOKUP(E94,Table1[[#All],[Campo]],1,0)</f>
        <v>imprmnt_stts</v>
      </c>
      <c r="B94" s="13" t="s">
        <v>1573</v>
      </c>
      <c r="C94" s="13" t="s">
        <v>1574</v>
      </c>
      <c r="D94" s="13" t="s">
        <v>1331</v>
      </c>
      <c r="E94" s="13" t="s">
        <v>1416</v>
      </c>
      <c r="F94" s="13" t="s">
        <v>1392</v>
      </c>
      <c r="G94" s="13" t="s">
        <v>1572</v>
      </c>
      <c r="H94" s="13" t="s">
        <v>622</v>
      </c>
      <c r="I94" s="13">
        <v>2002411</v>
      </c>
      <c r="J94" s="13">
        <v>0</v>
      </c>
      <c r="K94" s="13">
        <v>0</v>
      </c>
    </row>
    <row r="95" spans="1:11">
      <c r="A95" s="15" t="e">
        <f>VLOOKUP(E95,Table1[[#All],[Campo]],1,0)</f>
        <v>#N/A</v>
      </c>
      <c r="B95" s="13" t="s">
        <v>1575</v>
      </c>
      <c r="C95" s="13" t="s">
        <v>1576</v>
      </c>
      <c r="D95" s="13" t="s">
        <v>1331</v>
      </c>
      <c r="E95" s="13" t="s">
        <v>1510</v>
      </c>
      <c r="F95" s="13" t="s">
        <v>1392</v>
      </c>
      <c r="G95" s="13" t="s">
        <v>1572</v>
      </c>
      <c r="H95" s="13" t="s">
        <v>622</v>
      </c>
      <c r="I95" s="13">
        <v>2002411</v>
      </c>
      <c r="J95" s="13">
        <v>0</v>
      </c>
      <c r="K95" s="13">
        <v>0</v>
      </c>
    </row>
    <row r="96" spans="1:11">
      <c r="A96" s="15" t="str">
        <f>VLOOKUP(E96,Table1[[#All],[Campo]],1,0)</f>
        <v>dt_rfrnc</v>
      </c>
      <c r="B96" s="13" t="s">
        <v>1577</v>
      </c>
      <c r="C96" s="13" t="s">
        <v>1569</v>
      </c>
      <c r="D96" s="13" t="s">
        <v>1374</v>
      </c>
      <c r="E96" s="13" t="s">
        <v>1320</v>
      </c>
      <c r="F96" s="13" t="s">
        <v>1566</v>
      </c>
      <c r="G96" s="13" t="s">
        <v>1578</v>
      </c>
      <c r="H96" s="13" t="s">
        <v>622</v>
      </c>
      <c r="I96" s="13">
        <v>731165</v>
      </c>
      <c r="J96" s="13">
        <v>0</v>
      </c>
      <c r="K96" s="13">
        <v>0</v>
      </c>
    </row>
    <row r="97" spans="1:11">
      <c r="A97" s="15" t="str">
        <f>VLOOKUP(E97,Table1[[#All],[Campo]],1,0)</f>
        <v>dt_rfrnc</v>
      </c>
      <c r="B97" s="13" t="s">
        <v>1579</v>
      </c>
      <c r="C97" s="13" t="s">
        <v>1569</v>
      </c>
      <c r="D97" s="13" t="s">
        <v>1379</v>
      </c>
      <c r="E97" s="13" t="s">
        <v>1320</v>
      </c>
      <c r="F97" s="13" t="s">
        <v>1566</v>
      </c>
      <c r="G97" s="13" t="s">
        <v>1580</v>
      </c>
      <c r="H97" s="13" t="s">
        <v>622</v>
      </c>
      <c r="I97" s="13">
        <v>456960</v>
      </c>
      <c r="J97" s="13">
        <v>0</v>
      </c>
      <c r="K97" s="13">
        <v>0</v>
      </c>
    </row>
    <row r="98" spans="1:11">
      <c r="A98" s="15" t="str">
        <f>VLOOKUP(E98,Table1[[#All],[Campo]],1,0)</f>
        <v>dt_rfrnc</v>
      </c>
      <c r="B98" s="13" t="s">
        <v>1581</v>
      </c>
      <c r="C98" s="13" t="s">
        <v>1582</v>
      </c>
      <c r="D98" s="13" t="s">
        <v>1391</v>
      </c>
      <c r="E98" s="13" t="s">
        <v>1320</v>
      </c>
      <c r="F98" s="13" t="s">
        <v>1566</v>
      </c>
      <c r="G98" s="13" t="s">
        <v>1583</v>
      </c>
      <c r="H98" s="13" t="s">
        <v>622</v>
      </c>
      <c r="I98" s="13">
        <v>1096295</v>
      </c>
      <c r="J98" s="13">
        <v>0</v>
      </c>
      <c r="K98" s="13">
        <v>0</v>
      </c>
    </row>
    <row r="99" spans="1:11">
      <c r="A99" s="15" t="str">
        <f>VLOOKUP(E99,Table1[[#All],[Campo]],1,0)</f>
        <v>dt_rfrnc</v>
      </c>
      <c r="B99" s="13" t="s">
        <v>1584</v>
      </c>
      <c r="C99" s="13" t="s">
        <v>1582</v>
      </c>
      <c r="D99" s="13" t="s">
        <v>1398</v>
      </c>
      <c r="E99" s="13" t="s">
        <v>1320</v>
      </c>
      <c r="F99" s="13" t="s">
        <v>1566</v>
      </c>
      <c r="G99" s="13" t="s">
        <v>1585</v>
      </c>
      <c r="H99" s="13" t="s">
        <v>622</v>
      </c>
      <c r="I99" s="13">
        <v>2490665</v>
      </c>
      <c r="J99" s="13">
        <v>0</v>
      </c>
      <c r="K99" s="13">
        <v>0</v>
      </c>
    </row>
    <row r="100" spans="1:11">
      <c r="A100" s="15" t="str">
        <f>VLOOKUP(E100,Table1[[#All],[Campo]],1,0)</f>
        <v>dt_rfrnc</v>
      </c>
      <c r="B100" s="13" t="s">
        <v>1586</v>
      </c>
      <c r="C100" s="13" t="s">
        <v>1582</v>
      </c>
      <c r="D100" s="13" t="s">
        <v>1337</v>
      </c>
      <c r="E100" s="13" t="s">
        <v>1320</v>
      </c>
      <c r="F100" s="13" t="s">
        <v>1566</v>
      </c>
      <c r="G100" s="13" t="s">
        <v>1587</v>
      </c>
      <c r="H100" s="13" t="s">
        <v>622</v>
      </c>
      <c r="I100" s="13">
        <v>2002411</v>
      </c>
      <c r="J100" s="13">
        <v>0</v>
      </c>
      <c r="K100" s="13">
        <v>0</v>
      </c>
    </row>
    <row r="101" spans="1:11">
      <c r="A101" s="15" t="str">
        <f>VLOOKUP(E101,Table1[[#All],[Campo]],1,0)</f>
        <v>grss_crryng_amnt_instrmnt</v>
      </c>
      <c r="B101" s="13" t="s">
        <v>1588</v>
      </c>
      <c r="C101" s="13" t="s">
        <v>1589</v>
      </c>
      <c r="D101" s="13" t="s">
        <v>1337</v>
      </c>
      <c r="E101" s="13" t="s">
        <v>1424</v>
      </c>
      <c r="F101" s="13" t="s">
        <v>1590</v>
      </c>
      <c r="G101" s="13" t="s">
        <v>1587</v>
      </c>
      <c r="H101" s="13" t="s">
        <v>1340</v>
      </c>
      <c r="I101" s="13">
        <v>2002411</v>
      </c>
      <c r="J101" s="13">
        <v>31379</v>
      </c>
      <c r="K101" s="13">
        <v>1.5670999999999999</v>
      </c>
    </row>
    <row r="102" spans="1:11">
      <c r="A102" s="15" t="str">
        <f>VLOOKUP(E102,Table1[[#All],[Campo]],1,0)</f>
        <v>accmltd_chngs_fv_cr_instrmnt</v>
      </c>
      <c r="B102" s="13" t="s">
        <v>1591</v>
      </c>
      <c r="C102" s="13" t="s">
        <v>1592</v>
      </c>
      <c r="D102" s="13" t="s">
        <v>1337</v>
      </c>
      <c r="E102" s="13" t="s">
        <v>1428</v>
      </c>
      <c r="F102" s="13" t="s">
        <v>1590</v>
      </c>
      <c r="G102" s="13" t="s">
        <v>1587</v>
      </c>
      <c r="H102" s="13" t="s">
        <v>622</v>
      </c>
      <c r="I102" s="13">
        <v>2002411</v>
      </c>
      <c r="J102" s="13">
        <v>0</v>
      </c>
      <c r="K102" s="13">
        <v>0</v>
      </c>
    </row>
    <row r="103" spans="1:11">
      <c r="A103" s="15" t="str">
        <f>VLOOKUP(E103,Table1[[#All],[Campo]],1,0)</f>
        <v>OFF_BLNC_SHT_AMNT_INSTRMNT</v>
      </c>
      <c r="B103" s="13" t="s">
        <v>1593</v>
      </c>
      <c r="C103" s="13" t="s">
        <v>1594</v>
      </c>
      <c r="D103" s="13" t="s">
        <v>1337</v>
      </c>
      <c r="E103" s="13" t="s">
        <v>1434</v>
      </c>
      <c r="F103" s="13" t="s">
        <v>1590</v>
      </c>
      <c r="G103" s="13" t="s">
        <v>1587</v>
      </c>
      <c r="H103" s="13" t="s">
        <v>622</v>
      </c>
      <c r="I103" s="13">
        <v>2002411</v>
      </c>
      <c r="J103" s="13">
        <v>0</v>
      </c>
      <c r="K103" s="13">
        <v>0</v>
      </c>
    </row>
    <row r="104" spans="1:11">
      <c r="A104" s="15" t="e">
        <f>VLOOKUP(E104,Table1[[#All],[Campo]],1,0)</f>
        <v>#N/A</v>
      </c>
      <c r="B104" s="13" t="s">
        <v>1595</v>
      </c>
      <c r="C104" s="13" t="s">
        <v>1596</v>
      </c>
      <c r="D104" s="13" t="s">
        <v>1337</v>
      </c>
      <c r="E104" s="13" t="s">
        <v>1437</v>
      </c>
      <c r="F104" s="13" t="s">
        <v>1590</v>
      </c>
      <c r="G104" s="13" t="s">
        <v>1587</v>
      </c>
      <c r="H104" s="13" t="s">
        <v>622</v>
      </c>
      <c r="I104" s="13">
        <v>2002411</v>
      </c>
      <c r="J104" s="13">
        <v>0</v>
      </c>
      <c r="K104" s="13">
        <v>0</v>
      </c>
    </row>
    <row r="105" spans="1:11">
      <c r="A105" s="15" t="str">
        <f>VLOOKUP(E105,Table1[[#All],[Campo]],1,0)</f>
        <v>RWA</v>
      </c>
      <c r="B105" s="13" t="s">
        <v>1597</v>
      </c>
      <c r="C105" s="13" t="s">
        <v>1598</v>
      </c>
      <c r="D105" s="13" t="s">
        <v>1337</v>
      </c>
      <c r="E105" s="13" t="s">
        <v>1440</v>
      </c>
      <c r="F105" s="13" t="s">
        <v>1590</v>
      </c>
      <c r="G105" s="13" t="s">
        <v>1587</v>
      </c>
      <c r="H105" s="13" t="s">
        <v>622</v>
      </c>
      <c r="I105" s="13">
        <v>2002411</v>
      </c>
      <c r="J105" s="13">
        <v>0</v>
      </c>
      <c r="K105" s="13">
        <v>0</v>
      </c>
    </row>
    <row r="106" spans="1:11">
      <c r="A106" s="15" t="str">
        <f>VLOOKUP(E106,Table1[[#All],[Campo]],1,0)</f>
        <v>accmltd_imprmnt_instrmnt</v>
      </c>
      <c r="B106" s="13" t="s">
        <v>1599</v>
      </c>
      <c r="C106" s="13" t="s">
        <v>1600</v>
      </c>
      <c r="D106" s="13" t="s">
        <v>1337</v>
      </c>
      <c r="E106" s="13" t="s">
        <v>1443</v>
      </c>
      <c r="F106" s="13" t="s">
        <v>1590</v>
      </c>
      <c r="G106" s="13" t="s">
        <v>1587</v>
      </c>
      <c r="H106" s="13" t="s">
        <v>622</v>
      </c>
      <c r="I106" s="13">
        <v>2002411</v>
      </c>
      <c r="J106" s="13">
        <v>0</v>
      </c>
      <c r="K106" s="13">
        <v>0</v>
      </c>
    </row>
    <row r="107" spans="1:11">
      <c r="A107" s="15" t="e">
        <f>VLOOKUP(E107,Table1[[#All],[Campo]],1,0)</f>
        <v>#N/A</v>
      </c>
      <c r="B107" s="13" t="s">
        <v>1601</v>
      </c>
      <c r="C107" s="13" t="s">
        <v>1602</v>
      </c>
      <c r="D107" s="13" t="s">
        <v>1337</v>
      </c>
      <c r="E107" s="13" t="s">
        <v>1455</v>
      </c>
      <c r="F107" s="13" t="s">
        <v>1590</v>
      </c>
      <c r="G107" s="13" t="s">
        <v>1587</v>
      </c>
      <c r="H107" s="13" t="s">
        <v>622</v>
      </c>
      <c r="I107" s="13">
        <v>2002411</v>
      </c>
      <c r="J107" s="13">
        <v>0</v>
      </c>
      <c r="K107" s="13">
        <v>0</v>
      </c>
    </row>
    <row r="108" spans="1:11">
      <c r="A108" s="15" t="str">
        <f>VLOOKUP(E108,Table1[[#All],[Campo]],1,0)</f>
        <v>grss_intrst_incm</v>
      </c>
      <c r="B108" s="13" t="s">
        <v>1603</v>
      </c>
      <c r="C108" s="13" t="s">
        <v>1604</v>
      </c>
      <c r="D108" s="13" t="s">
        <v>1337</v>
      </c>
      <c r="E108" s="13" t="s">
        <v>1460</v>
      </c>
      <c r="F108" s="13" t="s">
        <v>1590</v>
      </c>
      <c r="G108" s="13" t="s">
        <v>1587</v>
      </c>
      <c r="H108" s="13" t="s">
        <v>622</v>
      </c>
      <c r="I108" s="13">
        <v>2002411</v>
      </c>
      <c r="J108" s="13">
        <v>0</v>
      </c>
      <c r="K108" s="13">
        <v>0</v>
      </c>
    </row>
    <row r="109" spans="1:11">
      <c r="A109" s="15" t="s">
        <v>1461</v>
      </c>
      <c r="B109" s="13" t="s">
        <v>1605</v>
      </c>
      <c r="C109" s="13" t="s">
        <v>1606</v>
      </c>
      <c r="D109" s="13" t="s">
        <v>1337</v>
      </c>
      <c r="E109" s="13" t="s">
        <v>1464</v>
      </c>
      <c r="F109" s="13" t="s">
        <v>1590</v>
      </c>
      <c r="G109" s="13" t="s">
        <v>1587</v>
      </c>
      <c r="H109" s="13" t="s">
        <v>622</v>
      </c>
      <c r="I109" s="13">
        <v>2002411</v>
      </c>
      <c r="J109" s="13">
        <v>0</v>
      </c>
      <c r="K109" s="13">
        <v>0</v>
      </c>
    </row>
    <row r="110" spans="1:11">
      <c r="A110" s="15" t="e">
        <f>VLOOKUP(E110,Table1[[#All],[Campo]],1,0)</f>
        <v>#N/A</v>
      </c>
      <c r="B110" s="13" t="s">
        <v>1607</v>
      </c>
      <c r="C110" s="13" t="s">
        <v>1608</v>
      </c>
      <c r="D110" s="13" t="s">
        <v>1337</v>
      </c>
      <c r="E110" s="13" t="s">
        <v>1467</v>
      </c>
      <c r="F110" s="13" t="s">
        <v>1590</v>
      </c>
      <c r="G110" s="13" t="s">
        <v>1587</v>
      </c>
      <c r="H110" s="13" t="s">
        <v>622</v>
      </c>
      <c r="I110" s="13">
        <v>2002411</v>
      </c>
      <c r="J110" s="13">
        <v>0</v>
      </c>
      <c r="K110" s="13">
        <v>0</v>
      </c>
    </row>
    <row r="111" spans="1:11">
      <c r="A111" s="15" t="e">
        <f>VLOOKUP(E111,Table1[[#All],[Campo]],1,0)</f>
        <v>#N/A</v>
      </c>
      <c r="B111" s="13" t="s">
        <v>1609</v>
      </c>
      <c r="C111" s="13" t="s">
        <v>1610</v>
      </c>
      <c r="D111" s="13" t="s">
        <v>1337</v>
      </c>
      <c r="E111" s="13" t="s">
        <v>1470</v>
      </c>
      <c r="F111" s="13" t="s">
        <v>1590</v>
      </c>
      <c r="G111" s="13" t="s">
        <v>1587</v>
      </c>
      <c r="H111" s="13" t="s">
        <v>622</v>
      </c>
      <c r="I111" s="13">
        <v>2002411</v>
      </c>
      <c r="J111" s="13">
        <v>0</v>
      </c>
      <c r="K111" s="13">
        <v>0</v>
      </c>
    </row>
    <row r="112" spans="1:11">
      <c r="A112" s="15" t="s">
        <v>1476</v>
      </c>
      <c r="B112" s="13" t="s">
        <v>1611</v>
      </c>
      <c r="C112" s="13" t="s">
        <v>1612</v>
      </c>
      <c r="D112" s="13" t="s">
        <v>1337</v>
      </c>
      <c r="E112" s="13" t="s">
        <v>1479</v>
      </c>
      <c r="F112" s="13" t="s">
        <v>1590</v>
      </c>
      <c r="G112" s="13" t="s">
        <v>1587</v>
      </c>
      <c r="H112" s="13" t="s">
        <v>622</v>
      </c>
      <c r="I112" s="13">
        <v>2002411</v>
      </c>
      <c r="J112" s="13">
        <v>0</v>
      </c>
      <c r="K112" s="13">
        <v>0</v>
      </c>
    </row>
    <row r="113" spans="1:11">
      <c r="A113" s="15" t="e">
        <f>VLOOKUP(E113,Table1[[#All],[Campo]],1,0)</f>
        <v>#N/A</v>
      </c>
      <c r="B113" s="13" t="s">
        <v>1613</v>
      </c>
      <c r="C113" s="13" t="s">
        <v>1614</v>
      </c>
      <c r="D113" s="13" t="s">
        <v>1337</v>
      </c>
      <c r="E113" s="13" t="s">
        <v>1482</v>
      </c>
      <c r="F113" s="13" t="s">
        <v>1590</v>
      </c>
      <c r="G113" s="13" t="s">
        <v>1587</v>
      </c>
      <c r="H113" s="13" t="s">
        <v>622</v>
      </c>
      <c r="I113" s="13">
        <v>2002411</v>
      </c>
      <c r="J113" s="13">
        <v>0</v>
      </c>
      <c r="K113" s="13">
        <v>0</v>
      </c>
    </row>
    <row r="114" spans="1:11">
      <c r="A114" s="15" t="e">
        <f>VLOOKUP(E114,Table1[[#All],[Campo]],1,0)</f>
        <v>#N/A</v>
      </c>
      <c r="B114" s="13" t="s">
        <v>1615</v>
      </c>
      <c r="C114" s="13" t="s">
        <v>1616</v>
      </c>
      <c r="D114" s="13" t="s">
        <v>1337</v>
      </c>
      <c r="E114" s="13" t="s">
        <v>1496</v>
      </c>
      <c r="F114" s="13" t="s">
        <v>1590</v>
      </c>
      <c r="G114" s="13" t="s">
        <v>1587</v>
      </c>
      <c r="H114" s="13" t="s">
        <v>622</v>
      </c>
      <c r="I114" s="13">
        <v>2002411</v>
      </c>
      <c r="J114" s="13">
        <v>0</v>
      </c>
      <c r="K114" s="13">
        <v>0</v>
      </c>
    </row>
    <row r="115" spans="1:11">
      <c r="A115" s="15" t="e">
        <f>VLOOKUP(E115,Table1[[#All],[Campo]],1,0)</f>
        <v>#N/A</v>
      </c>
      <c r="B115" s="13" t="s">
        <v>1617</v>
      </c>
      <c r="C115" s="13" t="s">
        <v>1618</v>
      </c>
      <c r="D115" s="13" t="s">
        <v>1337</v>
      </c>
      <c r="E115" s="13" t="s">
        <v>1499</v>
      </c>
      <c r="F115" s="13" t="s">
        <v>1590</v>
      </c>
      <c r="G115" s="13" t="s">
        <v>1587</v>
      </c>
      <c r="H115" s="13" t="s">
        <v>622</v>
      </c>
      <c r="I115" s="13">
        <v>2002411</v>
      </c>
      <c r="J115" s="13">
        <v>0</v>
      </c>
      <c r="K115" s="13">
        <v>0</v>
      </c>
    </row>
    <row r="116" spans="1:11">
      <c r="A116" s="15" t="s">
        <v>1500</v>
      </c>
      <c r="B116" s="13" t="s">
        <v>1619</v>
      </c>
      <c r="C116" s="13" t="s">
        <v>1620</v>
      </c>
      <c r="D116" s="13" t="s">
        <v>1337</v>
      </c>
      <c r="E116" s="13" t="s">
        <v>1503</v>
      </c>
      <c r="F116" s="13" t="s">
        <v>1590</v>
      </c>
      <c r="G116" s="13" t="s">
        <v>1587</v>
      </c>
      <c r="H116" s="13" t="s">
        <v>622</v>
      </c>
      <c r="I116" s="13">
        <v>2002411</v>
      </c>
      <c r="J116" s="13">
        <v>0</v>
      </c>
      <c r="K116" s="13">
        <v>0</v>
      </c>
    </row>
    <row r="117" spans="1:11">
      <c r="A117" s="15" t="s">
        <v>1504</v>
      </c>
      <c r="B117" s="13" t="s">
        <v>1621</v>
      </c>
      <c r="C117" s="13" t="s">
        <v>1622</v>
      </c>
      <c r="D117" s="13" t="s">
        <v>1337</v>
      </c>
      <c r="E117" s="13" t="s">
        <v>1507</v>
      </c>
      <c r="F117" s="13" t="s">
        <v>1590</v>
      </c>
      <c r="G117" s="13" t="s">
        <v>1587</v>
      </c>
      <c r="H117" s="13" t="s">
        <v>622</v>
      </c>
      <c r="I117" s="13">
        <v>2002411</v>
      </c>
      <c r="J117" s="13">
        <v>0</v>
      </c>
      <c r="K117" s="13">
        <v>0</v>
      </c>
    </row>
    <row r="118" spans="1:11">
      <c r="A118" s="15" t="e">
        <f>VLOOKUP(E118,Table1[[#All],[Campo]],1,0)</f>
        <v>#N/A</v>
      </c>
      <c r="B118" s="13" t="s">
        <v>1623</v>
      </c>
      <c r="C118" s="13" t="s">
        <v>1624</v>
      </c>
      <c r="D118" s="13" t="s">
        <v>1337</v>
      </c>
      <c r="E118" s="13" t="s">
        <v>1513</v>
      </c>
      <c r="F118" s="13" t="s">
        <v>1590</v>
      </c>
      <c r="G118" s="13" t="s">
        <v>1587</v>
      </c>
      <c r="H118" s="13" t="s">
        <v>622</v>
      </c>
      <c r="I118" s="13">
        <v>2002411</v>
      </c>
      <c r="J118" s="13">
        <v>0</v>
      </c>
      <c r="K118" s="13">
        <v>0</v>
      </c>
    </row>
    <row r="119" spans="1:11">
      <c r="A119" s="15" t="e">
        <f>VLOOKUP(E119,Table1[[#All],[Campo]],1,0)</f>
        <v>#N/A</v>
      </c>
      <c r="B119" s="13" t="s">
        <v>1625</v>
      </c>
      <c r="C119" s="13" t="s">
        <v>1626</v>
      </c>
      <c r="D119" s="13" t="s">
        <v>1337</v>
      </c>
      <c r="E119" s="13" t="s">
        <v>1519</v>
      </c>
      <c r="F119" s="13" t="s">
        <v>1590</v>
      </c>
      <c r="G119" s="13" t="s">
        <v>1587</v>
      </c>
      <c r="H119" s="13" t="s">
        <v>622</v>
      </c>
      <c r="I119" s="13">
        <v>2002411</v>
      </c>
      <c r="J119" s="13">
        <v>0</v>
      </c>
      <c r="K119" s="13">
        <v>0</v>
      </c>
    </row>
    <row r="120" spans="1:11">
      <c r="A120" s="15" t="e">
        <f>VLOOKUP(E120,Table1[[#All],[Campo]],1,0)</f>
        <v>#N/A</v>
      </c>
      <c r="B120" s="13" t="s">
        <v>1627</v>
      </c>
      <c r="C120" s="13" t="s">
        <v>1628</v>
      </c>
      <c r="D120" s="13" t="s">
        <v>1337</v>
      </c>
      <c r="E120" s="13" t="s">
        <v>1522</v>
      </c>
      <c r="F120" s="13" t="s">
        <v>1590</v>
      </c>
      <c r="G120" s="13" t="s">
        <v>1587</v>
      </c>
      <c r="H120" s="13" t="s">
        <v>622</v>
      </c>
      <c r="I120" s="13">
        <v>2002411</v>
      </c>
      <c r="J120" s="13">
        <v>0</v>
      </c>
      <c r="K120" s="13">
        <v>0</v>
      </c>
    </row>
    <row r="121" spans="1:11">
      <c r="A121" s="15" t="s">
        <v>1523</v>
      </c>
      <c r="B121" s="13" t="s">
        <v>1629</v>
      </c>
      <c r="C121" s="13" t="s">
        <v>1630</v>
      </c>
      <c r="D121" s="13" t="s">
        <v>1337</v>
      </c>
      <c r="E121" s="13" t="s">
        <v>1526</v>
      </c>
      <c r="F121" s="13" t="s">
        <v>1590</v>
      </c>
      <c r="G121" s="13" t="s">
        <v>1587</v>
      </c>
      <c r="H121" s="13" t="s">
        <v>622</v>
      </c>
      <c r="I121" s="13">
        <v>2002411</v>
      </c>
      <c r="J121" s="13">
        <v>0</v>
      </c>
      <c r="K121" s="13">
        <v>0</v>
      </c>
    </row>
    <row r="122" spans="1:11">
      <c r="A122" s="15" t="s">
        <v>1527</v>
      </c>
      <c r="B122" s="13" t="s">
        <v>1631</v>
      </c>
      <c r="C122" s="13" t="s">
        <v>1632</v>
      </c>
      <c r="D122" s="13" t="s">
        <v>1337</v>
      </c>
      <c r="E122" s="13" t="s">
        <v>1530</v>
      </c>
      <c r="F122" s="13" t="s">
        <v>1590</v>
      </c>
      <c r="G122" s="13" t="s">
        <v>1587</v>
      </c>
      <c r="H122" s="13" t="s">
        <v>622</v>
      </c>
      <c r="I122" s="13">
        <v>2002411</v>
      </c>
      <c r="J122" s="13">
        <v>0</v>
      </c>
      <c r="K122" s="13">
        <v>0</v>
      </c>
    </row>
    <row r="123" spans="1:11">
      <c r="A123" s="15" t="e">
        <f>VLOOKUP(E123,Table1[[#All],[Campo]],1,0)</f>
        <v>#N/A</v>
      </c>
      <c r="B123" s="13" t="s">
        <v>1633</v>
      </c>
      <c r="C123" s="13" t="s">
        <v>1634</v>
      </c>
      <c r="D123" s="13" t="s">
        <v>1337</v>
      </c>
      <c r="E123" s="13" t="s">
        <v>1533</v>
      </c>
      <c r="F123" s="13" t="s">
        <v>1590</v>
      </c>
      <c r="G123" s="13" t="s">
        <v>1587</v>
      </c>
      <c r="H123" s="13" t="s">
        <v>622</v>
      </c>
      <c r="I123" s="13">
        <v>2002411</v>
      </c>
      <c r="J123" s="13">
        <v>0</v>
      </c>
      <c r="K123" s="13">
        <v>0</v>
      </c>
    </row>
    <row r="124" spans="1:11">
      <c r="A124" s="15" t="s">
        <v>1536</v>
      </c>
      <c r="B124" s="13" t="s">
        <v>1635</v>
      </c>
      <c r="C124" s="13" t="s">
        <v>1636</v>
      </c>
      <c r="D124" s="13" t="s">
        <v>1337</v>
      </c>
      <c r="E124" s="13" t="s">
        <v>1539</v>
      </c>
      <c r="F124" s="13" t="s">
        <v>1590</v>
      </c>
      <c r="G124" s="13" t="s">
        <v>1587</v>
      </c>
      <c r="H124" s="13" t="s">
        <v>622</v>
      </c>
      <c r="I124" s="13">
        <v>2002411</v>
      </c>
      <c r="J124" s="13">
        <v>0</v>
      </c>
      <c r="K124" s="13">
        <v>0</v>
      </c>
    </row>
    <row r="125" spans="1:11">
      <c r="A125" s="15" t="s">
        <v>1540</v>
      </c>
      <c r="B125" s="13" t="s">
        <v>1637</v>
      </c>
      <c r="C125" s="13" t="s">
        <v>1638</v>
      </c>
      <c r="D125" s="13" t="s">
        <v>1337</v>
      </c>
      <c r="E125" s="13" t="s">
        <v>1543</v>
      </c>
      <c r="F125" s="13" t="s">
        <v>1590</v>
      </c>
      <c r="G125" s="13" t="s">
        <v>1587</v>
      </c>
      <c r="H125" s="13" t="s">
        <v>622</v>
      </c>
      <c r="I125" s="13">
        <v>2002411</v>
      </c>
      <c r="J125" s="13">
        <v>0</v>
      </c>
      <c r="K125" s="13">
        <v>0</v>
      </c>
    </row>
    <row r="126" spans="1:11">
      <c r="A126" s="15" t="str">
        <f>VLOOKUP(E126,Table1[[#All],[Campo]],1,0)</f>
        <v>dt_rfrnc</v>
      </c>
      <c r="B126" s="13" t="s">
        <v>1639</v>
      </c>
      <c r="C126" s="13" t="s">
        <v>1582</v>
      </c>
      <c r="D126" s="13" t="s">
        <v>1388</v>
      </c>
      <c r="E126" s="13" t="s">
        <v>1320</v>
      </c>
      <c r="F126" s="13" t="s">
        <v>1566</v>
      </c>
      <c r="G126" s="13" t="s">
        <v>1640</v>
      </c>
      <c r="H126" s="13" t="s">
        <v>622</v>
      </c>
      <c r="I126" s="13">
        <v>731165</v>
      </c>
      <c r="J126" s="13">
        <v>0</v>
      </c>
      <c r="K126" s="13">
        <v>0</v>
      </c>
    </row>
    <row r="127" spans="1:11">
      <c r="A127" s="15" t="str">
        <f>VLOOKUP(E127,Table1[[#All],[Campo]],1,0)</f>
        <v>dt_rfrnc</v>
      </c>
      <c r="B127" s="13" t="s">
        <v>1641</v>
      </c>
      <c r="C127" s="13" t="s">
        <v>1582</v>
      </c>
      <c r="D127" s="13" t="s">
        <v>1553</v>
      </c>
      <c r="E127" s="13" t="s">
        <v>1320</v>
      </c>
      <c r="F127" s="13" t="s">
        <v>1566</v>
      </c>
      <c r="G127" s="13" t="s">
        <v>1642</v>
      </c>
      <c r="H127" s="13" t="s">
        <v>622</v>
      </c>
      <c r="I127" s="13">
        <v>456960</v>
      </c>
      <c r="J127" s="13">
        <v>0</v>
      </c>
      <c r="K127" s="13">
        <v>0</v>
      </c>
    </row>
    <row r="128" spans="1:11">
      <c r="A128" s="15" t="str">
        <f>VLOOKUP(E128,Table1[[#All],[Campo]],1,0)</f>
        <v>subportfolio_id</v>
      </c>
      <c r="B128" s="13" t="s">
        <v>1643</v>
      </c>
      <c r="C128" s="13" t="s">
        <v>1644</v>
      </c>
      <c r="D128" s="13" t="s">
        <v>1645</v>
      </c>
      <c r="E128" s="13" t="s">
        <v>1409</v>
      </c>
      <c r="F128" s="13" t="s">
        <v>1646</v>
      </c>
      <c r="G128" s="13" t="s">
        <v>1647</v>
      </c>
      <c r="H128" s="13" t="s">
        <v>622</v>
      </c>
      <c r="I128" s="13">
        <v>0</v>
      </c>
      <c r="J128" s="13">
        <v>0</v>
      </c>
      <c r="K128" s="13">
        <v>0</v>
      </c>
    </row>
    <row r="129" spans="1:11">
      <c r="A129" s="15" t="str">
        <f>VLOOKUP(E129,Table1[[#All],[Campo]],1,0)</f>
        <v>dflt_stts_instrmnt</v>
      </c>
      <c r="B129" s="13" t="s">
        <v>1648</v>
      </c>
      <c r="C129" s="13" t="s">
        <v>1649</v>
      </c>
      <c r="D129" s="13" t="s">
        <v>1650</v>
      </c>
      <c r="E129" s="13" t="s">
        <v>1338</v>
      </c>
      <c r="F129" s="13" t="s">
        <v>1646</v>
      </c>
      <c r="G129" s="13" t="s">
        <v>1647</v>
      </c>
      <c r="H129" s="13" t="s">
        <v>622</v>
      </c>
      <c r="I129" s="13">
        <v>0</v>
      </c>
      <c r="J129" s="13">
        <v>0</v>
      </c>
      <c r="K129" s="13">
        <v>0</v>
      </c>
    </row>
    <row r="130" spans="1:11">
      <c r="A130" s="15" t="str">
        <f>VLOOKUP(E130,Table1[[#All],[Campo]],1,0)</f>
        <v>dflt_stts_instrmnt</v>
      </c>
      <c r="B130" s="13" t="s">
        <v>1651</v>
      </c>
      <c r="C130" s="13" t="s">
        <v>1652</v>
      </c>
      <c r="D130" s="13" t="s">
        <v>1653</v>
      </c>
      <c r="E130" s="13" t="s">
        <v>1338</v>
      </c>
      <c r="F130" s="13" t="s">
        <v>1646</v>
      </c>
      <c r="G130" s="13" t="s">
        <v>1647</v>
      </c>
      <c r="H130" s="13" t="s">
        <v>622</v>
      </c>
      <c r="I130" s="13">
        <v>0</v>
      </c>
      <c r="J130" s="13">
        <v>0</v>
      </c>
      <c r="K130" s="13">
        <v>0</v>
      </c>
    </row>
    <row r="131" spans="1:11">
      <c r="A131" s="15" t="str">
        <f>VLOOKUP(E131,Table1[[#All],[Campo]],1,0)</f>
        <v>dflt_stts_instrmnt</v>
      </c>
      <c r="B131" s="13" t="s">
        <v>1654</v>
      </c>
      <c r="C131" s="13" t="s">
        <v>1655</v>
      </c>
      <c r="D131" s="13" t="s">
        <v>1645</v>
      </c>
      <c r="E131" s="13" t="s">
        <v>1338</v>
      </c>
      <c r="F131" s="13" t="s">
        <v>1646</v>
      </c>
      <c r="G131" s="13" t="s">
        <v>1647</v>
      </c>
      <c r="H131" s="13" t="s">
        <v>622</v>
      </c>
      <c r="I131" s="13">
        <v>0</v>
      </c>
      <c r="J131" s="13">
        <v>0</v>
      </c>
      <c r="K131" s="13">
        <v>0</v>
      </c>
    </row>
    <row r="132" spans="1:11">
      <c r="A132" s="15" t="str">
        <f>VLOOKUP(E132,Table1[[#All],[Campo]],1,0)</f>
        <v>imprmnt_stts</v>
      </c>
      <c r="B132" s="13" t="s">
        <v>1656</v>
      </c>
      <c r="C132" s="13" t="s">
        <v>1657</v>
      </c>
      <c r="D132" s="13" t="s">
        <v>1645</v>
      </c>
      <c r="E132" s="13" t="s">
        <v>1416</v>
      </c>
      <c r="F132" s="13" t="s">
        <v>1646</v>
      </c>
      <c r="G132" s="13" t="s">
        <v>1647</v>
      </c>
      <c r="H132" s="13" t="s">
        <v>1340</v>
      </c>
      <c r="I132" s="13">
        <v>9703</v>
      </c>
      <c r="J132" s="13">
        <v>1</v>
      </c>
      <c r="K132" s="13">
        <v>1.03E-2</v>
      </c>
    </row>
    <row r="133" spans="1:11">
      <c r="A133" s="15" t="str">
        <f>VLOOKUP(E133,Table1[[#All],[Campo]],1,0)</f>
        <v>imprmnt_stts</v>
      </c>
      <c r="B133" s="13" t="s">
        <v>1658</v>
      </c>
      <c r="C133" s="13" t="s">
        <v>1659</v>
      </c>
      <c r="D133" s="13" t="s">
        <v>1645</v>
      </c>
      <c r="E133" s="13" t="s">
        <v>1416</v>
      </c>
      <c r="F133" s="13" t="s">
        <v>1646</v>
      </c>
      <c r="G133" s="13" t="s">
        <v>1647</v>
      </c>
      <c r="H133" s="13" t="s">
        <v>1340</v>
      </c>
      <c r="I133" s="13">
        <v>92666</v>
      </c>
      <c r="J133" s="13">
        <v>3283</v>
      </c>
      <c r="K133" s="13">
        <v>3.5428000000000002</v>
      </c>
    </row>
    <row r="134" spans="1:11">
      <c r="A134" s="15" t="str">
        <f>VLOOKUP(E134,Table1[[#All],[Campo]],1,0)</f>
        <v>imprmnt_stts</v>
      </c>
      <c r="B134" s="13" t="s">
        <v>1660</v>
      </c>
      <c r="C134" s="13" t="s">
        <v>1661</v>
      </c>
      <c r="D134" s="13" t="s">
        <v>1645</v>
      </c>
      <c r="E134" s="13" t="s">
        <v>1416</v>
      </c>
      <c r="F134" s="13" t="s">
        <v>1646</v>
      </c>
      <c r="G134" s="13" t="s">
        <v>1647</v>
      </c>
      <c r="H134" s="13" t="s">
        <v>1340</v>
      </c>
      <c r="I134" s="13">
        <v>1813562</v>
      </c>
      <c r="J134" s="13">
        <v>4684</v>
      </c>
      <c r="K134" s="13">
        <v>0.25829999999999997</v>
      </c>
    </row>
    <row r="135" spans="1:11">
      <c r="A135" s="15" t="str">
        <f>VLOOKUP(E135,Table1[[#All],[Campo]],1,0)</f>
        <v>imprmnt_stts</v>
      </c>
      <c r="B135" s="13" t="s">
        <v>1662</v>
      </c>
      <c r="C135" s="13" t="s">
        <v>1663</v>
      </c>
      <c r="D135" s="13" t="s">
        <v>1645</v>
      </c>
      <c r="E135" s="13" t="s">
        <v>1416</v>
      </c>
      <c r="F135" s="13" t="s">
        <v>1646</v>
      </c>
      <c r="G135" s="13" t="s">
        <v>1647</v>
      </c>
      <c r="H135" s="13" t="s">
        <v>622</v>
      </c>
      <c r="I135" s="13">
        <v>1905178</v>
      </c>
      <c r="J135" s="13">
        <v>0</v>
      </c>
      <c r="K135" s="13">
        <v>0</v>
      </c>
    </row>
    <row r="136" spans="1:11">
      <c r="A136" s="15" t="str">
        <f>VLOOKUP(E136,Table1[[#All],[Campo]],1,0)</f>
        <v>imprmnt_stts</v>
      </c>
      <c r="B136" s="13" t="s">
        <v>1664</v>
      </c>
      <c r="C136" s="13" t="s">
        <v>1665</v>
      </c>
      <c r="D136" s="13" t="s">
        <v>1650</v>
      </c>
      <c r="E136" s="13" t="s">
        <v>1416</v>
      </c>
      <c r="F136" s="13" t="s">
        <v>1646</v>
      </c>
      <c r="G136" s="13" t="s">
        <v>1647</v>
      </c>
      <c r="H136" s="13" t="s">
        <v>1340</v>
      </c>
      <c r="I136" s="13">
        <v>18441</v>
      </c>
      <c r="J136" s="13">
        <v>2850</v>
      </c>
      <c r="K136" s="13">
        <v>15.454700000000001</v>
      </c>
    </row>
    <row r="137" spans="1:11">
      <c r="A137" s="15" t="str">
        <f>VLOOKUP(E137,Table1[[#All],[Campo]],1,0)</f>
        <v>imprmnt_stts</v>
      </c>
      <c r="B137" s="13" t="s">
        <v>1666</v>
      </c>
      <c r="C137" s="13" t="s">
        <v>1667</v>
      </c>
      <c r="D137" s="13" t="s">
        <v>1668</v>
      </c>
      <c r="E137" s="13" t="s">
        <v>1416</v>
      </c>
      <c r="F137" s="13" t="s">
        <v>1646</v>
      </c>
      <c r="G137" s="13" t="s">
        <v>1647</v>
      </c>
      <c r="H137" s="13" t="s">
        <v>622</v>
      </c>
      <c r="I137" s="13">
        <v>1724899</v>
      </c>
      <c r="J137" s="13">
        <v>0</v>
      </c>
      <c r="K137" s="13">
        <v>0</v>
      </c>
    </row>
    <row r="138" spans="1:11">
      <c r="A138" s="15" t="str">
        <f>VLOOKUP(E138,Table1[[#All],[Campo]],1,0)</f>
        <v>imprmnt_stts</v>
      </c>
      <c r="B138" s="13" t="s">
        <v>1669</v>
      </c>
      <c r="C138" s="13" t="s">
        <v>1670</v>
      </c>
      <c r="D138" s="13" t="s">
        <v>1668</v>
      </c>
      <c r="E138" s="13" t="s">
        <v>1416</v>
      </c>
      <c r="F138" s="13" t="s">
        <v>1646</v>
      </c>
      <c r="G138" s="13" t="s">
        <v>1647</v>
      </c>
      <c r="H138" s="13" t="s">
        <v>622</v>
      </c>
      <c r="I138" s="13">
        <v>1472964</v>
      </c>
      <c r="J138" s="13">
        <v>0</v>
      </c>
      <c r="K138" s="13">
        <v>0</v>
      </c>
    </row>
    <row r="139" spans="1:11">
      <c r="A139" s="15" t="str">
        <f>VLOOKUP(E139,Table1[[#All],[Campo]],1,0)</f>
        <v>imprmnt_stts</v>
      </c>
      <c r="B139" s="13" t="s">
        <v>1671</v>
      </c>
      <c r="C139" s="13" t="s">
        <v>1672</v>
      </c>
      <c r="D139" s="13" t="s">
        <v>1668</v>
      </c>
      <c r="E139" s="13" t="s">
        <v>1416</v>
      </c>
      <c r="F139" s="13" t="s">
        <v>1646</v>
      </c>
      <c r="G139" s="13" t="s">
        <v>1647</v>
      </c>
      <c r="H139" s="13" t="s">
        <v>622</v>
      </c>
      <c r="I139" s="13">
        <v>432214</v>
      </c>
      <c r="J139" s="13">
        <v>0</v>
      </c>
      <c r="K139" s="13">
        <v>0</v>
      </c>
    </row>
    <row r="140" spans="1:11">
      <c r="A140" s="15" t="str">
        <f>VLOOKUP(E140,Table1[[#All],[Campo]],1,0)</f>
        <v>imprmnt_stts</v>
      </c>
      <c r="B140" s="13" t="s">
        <v>1673</v>
      </c>
      <c r="C140" s="13" t="s">
        <v>1674</v>
      </c>
      <c r="D140" s="13" t="s">
        <v>1668</v>
      </c>
      <c r="E140" s="13" t="s">
        <v>1416</v>
      </c>
      <c r="F140" s="13" t="s">
        <v>1646</v>
      </c>
      <c r="G140" s="13" t="s">
        <v>1647</v>
      </c>
      <c r="H140" s="13" t="s">
        <v>622</v>
      </c>
      <c r="I140" s="13">
        <v>97233</v>
      </c>
      <c r="J140" s="13">
        <v>0</v>
      </c>
      <c r="K140" s="13">
        <v>0</v>
      </c>
    </row>
    <row r="141" spans="1:11">
      <c r="A141" s="15" t="str">
        <f>VLOOKUP(E141,Table1[[#All],[Campo]],1,0)</f>
        <v>prfrmng_stts</v>
      </c>
      <c r="B141" s="13" t="s">
        <v>1675</v>
      </c>
      <c r="C141" s="13" t="s">
        <v>1676</v>
      </c>
      <c r="D141" s="13" t="s">
        <v>1645</v>
      </c>
      <c r="E141" s="13" t="s">
        <v>1343</v>
      </c>
      <c r="F141" s="13" t="s">
        <v>1646</v>
      </c>
      <c r="G141" s="13" t="s">
        <v>1647</v>
      </c>
      <c r="H141" s="13" t="s">
        <v>1340</v>
      </c>
      <c r="I141" s="13">
        <v>92666</v>
      </c>
      <c r="J141" s="13">
        <v>3283</v>
      </c>
      <c r="K141" s="13">
        <v>3.5428000000000002</v>
      </c>
    </row>
    <row r="142" spans="1:11">
      <c r="A142" s="15" t="str">
        <f>VLOOKUP(E142,Table1[[#All],[Campo]],1,0)</f>
        <v>prfrmng_stts</v>
      </c>
      <c r="B142" s="13" t="s">
        <v>1677</v>
      </c>
      <c r="C142" s="13" t="s">
        <v>1678</v>
      </c>
      <c r="D142" s="13" t="s">
        <v>1645</v>
      </c>
      <c r="E142" s="13" t="s">
        <v>1343</v>
      </c>
      <c r="F142" s="13" t="s">
        <v>1646</v>
      </c>
      <c r="G142" s="13" t="s">
        <v>1647</v>
      </c>
      <c r="H142" s="13" t="s">
        <v>622</v>
      </c>
      <c r="I142" s="13">
        <v>114216</v>
      </c>
      <c r="J142" s="13">
        <v>0</v>
      </c>
      <c r="K142" s="13">
        <v>0</v>
      </c>
    </row>
    <row r="143" spans="1:11">
      <c r="A143" s="15" t="str">
        <f>VLOOKUP(E143,Table1[[#All],[Campo]],1,0)</f>
        <v>prfrmng_stts</v>
      </c>
      <c r="B143" s="13" t="s">
        <v>1679</v>
      </c>
      <c r="C143" s="13" t="s">
        <v>1680</v>
      </c>
      <c r="D143" s="13" t="s">
        <v>1645</v>
      </c>
      <c r="E143" s="13" t="s">
        <v>1343</v>
      </c>
      <c r="F143" s="13" t="s">
        <v>1646</v>
      </c>
      <c r="G143" s="13" t="s">
        <v>1647</v>
      </c>
      <c r="H143" s="13" t="s">
        <v>622</v>
      </c>
      <c r="I143" s="13">
        <v>1408741</v>
      </c>
      <c r="J143" s="13">
        <v>0</v>
      </c>
      <c r="K143" s="13">
        <v>0</v>
      </c>
    </row>
    <row r="144" spans="1:11">
      <c r="A144" s="15" t="str">
        <f>VLOOKUP(E144,Table1[[#All],[Campo]],1,0)</f>
        <v>prfrmng_stts</v>
      </c>
      <c r="B144" s="13" t="s">
        <v>1681</v>
      </c>
      <c r="C144" s="13" t="s">
        <v>1682</v>
      </c>
      <c r="D144" s="13" t="s">
        <v>1653</v>
      </c>
      <c r="E144" s="13" t="s">
        <v>1343</v>
      </c>
      <c r="F144" s="13" t="s">
        <v>1646</v>
      </c>
      <c r="G144" s="13" t="s">
        <v>1647</v>
      </c>
      <c r="H144" s="13" t="s">
        <v>622</v>
      </c>
      <c r="I144" s="13">
        <v>0</v>
      </c>
      <c r="J144" s="13">
        <v>0</v>
      </c>
      <c r="K144" s="13">
        <v>0</v>
      </c>
    </row>
    <row r="145" spans="1:11">
      <c r="A145" s="15" t="str">
        <f>VLOOKUP(E145,Table1[[#All],[Campo]],1,0)</f>
        <v>prfrmng_stts</v>
      </c>
      <c r="B145" s="13" t="s">
        <v>1683</v>
      </c>
      <c r="C145" s="13" t="s">
        <v>1684</v>
      </c>
      <c r="D145" s="13" t="s">
        <v>1668</v>
      </c>
      <c r="E145" s="13" t="s">
        <v>1343</v>
      </c>
      <c r="F145" s="13" t="s">
        <v>1646</v>
      </c>
      <c r="G145" s="13" t="s">
        <v>1647</v>
      </c>
      <c r="H145" s="13" t="s">
        <v>622</v>
      </c>
      <c r="I145" s="13">
        <v>1905178</v>
      </c>
      <c r="J145" s="13">
        <v>0</v>
      </c>
      <c r="K145" s="13">
        <v>0</v>
      </c>
    </row>
    <row r="146" spans="1:11">
      <c r="A146" s="15" t="str">
        <f>VLOOKUP(E146,Table1[[#All],[Campo]],1,0)</f>
        <v>prfrmng_stts</v>
      </c>
      <c r="B146" s="13" t="s">
        <v>1685</v>
      </c>
      <c r="C146" s="13" t="s">
        <v>1686</v>
      </c>
      <c r="D146" s="13" t="s">
        <v>1668</v>
      </c>
      <c r="E146" s="13" t="s">
        <v>1343</v>
      </c>
      <c r="F146" s="13" t="s">
        <v>1646</v>
      </c>
      <c r="G146" s="13" t="s">
        <v>1647</v>
      </c>
      <c r="H146" s="13" t="s">
        <v>622</v>
      </c>
      <c r="I146" s="13">
        <v>97233</v>
      </c>
      <c r="J146" s="13">
        <v>0</v>
      </c>
      <c r="K146" s="13">
        <v>0</v>
      </c>
    </row>
    <row r="147" spans="1:11">
      <c r="A147" s="15" t="str">
        <f>VLOOKUP(E147,Table1[[#All],[Campo]],1,0)</f>
        <v>prfrmng_stts</v>
      </c>
      <c r="B147" s="13" t="s">
        <v>1687</v>
      </c>
      <c r="C147" s="13" t="s">
        <v>1688</v>
      </c>
      <c r="D147" s="13" t="s">
        <v>1653</v>
      </c>
      <c r="E147" s="13" t="s">
        <v>1343</v>
      </c>
      <c r="F147" s="13" t="s">
        <v>1646</v>
      </c>
      <c r="G147" s="13" t="s">
        <v>1647</v>
      </c>
      <c r="H147" s="13" t="s">
        <v>622</v>
      </c>
      <c r="I147" s="13">
        <v>0</v>
      </c>
      <c r="J147" s="13">
        <v>0</v>
      </c>
      <c r="K147" s="13">
        <v>0</v>
      </c>
    </row>
    <row r="148" spans="1:11">
      <c r="A148" s="15" t="str">
        <f>VLOOKUP(E148,Table1[[#All],[Campo]],1,0)</f>
        <v>prfrmng_stts</v>
      </c>
      <c r="B148" s="13" t="s">
        <v>1689</v>
      </c>
      <c r="C148" s="13" t="s">
        <v>1690</v>
      </c>
      <c r="D148" s="13" t="s">
        <v>1645</v>
      </c>
      <c r="E148" s="13" t="s">
        <v>1343</v>
      </c>
      <c r="F148" s="13" t="s">
        <v>1646</v>
      </c>
      <c r="G148" s="13" t="s">
        <v>1647</v>
      </c>
      <c r="H148" s="13" t="s">
        <v>622</v>
      </c>
      <c r="I148" s="13">
        <v>97233</v>
      </c>
      <c r="J148" s="13">
        <v>0</v>
      </c>
      <c r="K148" s="13">
        <v>0</v>
      </c>
    </row>
    <row r="149" spans="1:11">
      <c r="A149" s="15" t="str">
        <f>VLOOKUP(E149,Table1[[#All],[Campo]],1,0)</f>
        <v>prfrmng_stts</v>
      </c>
      <c r="B149" s="13" t="s">
        <v>1691</v>
      </c>
      <c r="C149" s="13" t="s">
        <v>1692</v>
      </c>
      <c r="D149" s="13" t="s">
        <v>1650</v>
      </c>
      <c r="E149" s="13" t="s">
        <v>1343</v>
      </c>
      <c r="F149" s="13" t="s">
        <v>1646</v>
      </c>
      <c r="G149" s="13" t="s">
        <v>1647</v>
      </c>
      <c r="H149" s="13" t="s">
        <v>1340</v>
      </c>
      <c r="I149" s="13">
        <v>113163</v>
      </c>
      <c r="J149" s="13">
        <v>15043</v>
      </c>
      <c r="K149" s="13">
        <v>13.293200000000001</v>
      </c>
    </row>
    <row r="150" spans="1:11">
      <c r="A150" s="15" t="str">
        <f>VLOOKUP(E150,Table1[[#All],[Campo]],1,0)</f>
        <v>grss_crryng_amnt_instrmnt</v>
      </c>
      <c r="B150" s="13" t="s">
        <v>1693</v>
      </c>
      <c r="C150" s="13" t="s">
        <v>1694</v>
      </c>
      <c r="D150" s="13" t="s">
        <v>1645</v>
      </c>
      <c r="E150" s="13" t="s">
        <v>1424</v>
      </c>
      <c r="F150" s="13" t="s">
        <v>1646</v>
      </c>
      <c r="G150" s="13" t="s">
        <v>1647</v>
      </c>
      <c r="H150" s="13" t="s">
        <v>622</v>
      </c>
      <c r="I150" s="13">
        <v>1724899</v>
      </c>
      <c r="J150" s="13">
        <v>0</v>
      </c>
      <c r="K150" s="13">
        <v>0</v>
      </c>
    </row>
    <row r="151" spans="1:11">
      <c r="A151" s="15" t="str">
        <f>VLOOKUP(E151,Table1[[#All],[Campo]],1,0)</f>
        <v>grss_crryng_amnt_instrmnt</v>
      </c>
      <c r="B151" s="13" t="s">
        <v>1695</v>
      </c>
      <c r="C151" s="13" t="s">
        <v>1696</v>
      </c>
      <c r="D151" s="13" t="s">
        <v>1645</v>
      </c>
      <c r="E151" s="13" t="s">
        <v>1424</v>
      </c>
      <c r="F151" s="13" t="s">
        <v>1646</v>
      </c>
      <c r="G151" s="13" t="s">
        <v>1647</v>
      </c>
      <c r="H151" s="13" t="s">
        <v>622</v>
      </c>
      <c r="I151" s="13">
        <v>0</v>
      </c>
      <c r="J151" s="13">
        <v>0</v>
      </c>
      <c r="K151" s="13">
        <v>0</v>
      </c>
    </row>
    <row r="152" spans="1:11">
      <c r="A152" s="15" t="str">
        <f>VLOOKUP(E152,Table1[[#All],[Campo]],1,0)</f>
        <v>grss_crryng_amnt_instrmnt</v>
      </c>
      <c r="B152" s="13" t="s">
        <v>1697</v>
      </c>
      <c r="C152" s="13" t="s">
        <v>1698</v>
      </c>
      <c r="D152" s="13" t="s">
        <v>1645</v>
      </c>
      <c r="E152" s="13" t="s">
        <v>1424</v>
      </c>
      <c r="F152" s="13" t="s">
        <v>1646</v>
      </c>
      <c r="G152" s="13" t="s">
        <v>1647</v>
      </c>
      <c r="H152" s="13" t="s">
        <v>622</v>
      </c>
      <c r="I152" s="13">
        <v>277512</v>
      </c>
      <c r="J152" s="13">
        <v>0</v>
      </c>
      <c r="K152" s="13">
        <v>0</v>
      </c>
    </row>
    <row r="153" spans="1:11">
      <c r="A153" s="15" t="str">
        <f>VLOOKUP(E153,Table1[[#All],[Campo]],1,0)</f>
        <v>accmltd_chngs_fv_cr_instrmnt</v>
      </c>
      <c r="B153" s="13" t="s">
        <v>1699</v>
      </c>
      <c r="C153" s="13" t="s">
        <v>1700</v>
      </c>
      <c r="D153" s="13" t="s">
        <v>1645</v>
      </c>
      <c r="E153" s="13" t="s">
        <v>1428</v>
      </c>
      <c r="F153" s="13" t="s">
        <v>1646</v>
      </c>
      <c r="G153" s="13" t="s">
        <v>1647</v>
      </c>
      <c r="H153" s="13" t="s">
        <v>622</v>
      </c>
      <c r="I153" s="13">
        <v>305642</v>
      </c>
      <c r="J153" s="13">
        <v>0</v>
      </c>
      <c r="K153" s="13">
        <v>0</v>
      </c>
    </row>
    <row r="154" spans="1:11">
      <c r="A154" s="15" t="str">
        <f>VLOOKUP(E154,Table1[[#All],[Campo]],1,0)</f>
        <v>accmltd_chngs_fv_cr_instrmnt</v>
      </c>
      <c r="B154" s="13" t="s">
        <v>1701</v>
      </c>
      <c r="C154" s="13" t="s">
        <v>1702</v>
      </c>
      <c r="D154" s="13" t="s">
        <v>1645</v>
      </c>
      <c r="E154" s="13" t="s">
        <v>1428</v>
      </c>
      <c r="F154" s="13" t="s">
        <v>1646</v>
      </c>
      <c r="G154" s="13" t="s">
        <v>1647</v>
      </c>
      <c r="H154" s="13" t="s">
        <v>622</v>
      </c>
      <c r="I154" s="13">
        <v>0</v>
      </c>
      <c r="J154" s="13">
        <v>0</v>
      </c>
      <c r="K154" s="13">
        <v>0</v>
      </c>
    </row>
    <row r="155" spans="1:11">
      <c r="A155" s="15" t="str">
        <f>VLOOKUP(E155,Table1[[#All],[Campo]],1,0)</f>
        <v>accntng_clssfctn</v>
      </c>
      <c r="B155" s="13" t="s">
        <v>1703</v>
      </c>
      <c r="C155" s="13" t="s">
        <v>1704</v>
      </c>
      <c r="D155" s="13" t="s">
        <v>1645</v>
      </c>
      <c r="E155" s="13" t="s">
        <v>1431</v>
      </c>
      <c r="F155" s="13" t="s">
        <v>1646</v>
      </c>
      <c r="G155" s="13" t="s">
        <v>1647</v>
      </c>
      <c r="H155" s="13" t="s">
        <v>622</v>
      </c>
      <c r="I155" s="13">
        <v>1724797</v>
      </c>
      <c r="J155" s="13">
        <v>0</v>
      </c>
      <c r="K155" s="13">
        <v>0</v>
      </c>
    </row>
    <row r="156" spans="1:11">
      <c r="A156" s="15" t="str">
        <f>VLOOKUP(E156,Table1[[#All],[Campo]],1,0)</f>
        <v>accntng_clssfctn</v>
      </c>
      <c r="B156" s="13" t="s">
        <v>1705</v>
      </c>
      <c r="C156" s="13" t="s">
        <v>1706</v>
      </c>
      <c r="D156" s="13" t="s">
        <v>1645</v>
      </c>
      <c r="E156" s="13" t="s">
        <v>1431</v>
      </c>
      <c r="F156" s="13" t="s">
        <v>1646</v>
      </c>
      <c r="G156" s="13" t="s">
        <v>1647</v>
      </c>
      <c r="H156" s="13" t="s">
        <v>622</v>
      </c>
      <c r="I156" s="13">
        <v>93</v>
      </c>
      <c r="J156" s="13">
        <v>0</v>
      </c>
      <c r="K156" s="13">
        <v>0</v>
      </c>
    </row>
    <row r="157" spans="1:11">
      <c r="A157" s="15" t="str">
        <f>VLOOKUP(E157,Table1[[#All],[Campo]],1,0)</f>
        <v>accntng_clssfctn</v>
      </c>
      <c r="B157" s="13" t="s">
        <v>1707</v>
      </c>
      <c r="C157" s="13" t="s">
        <v>1708</v>
      </c>
      <c r="D157" s="13" t="s">
        <v>1645</v>
      </c>
      <c r="E157" s="13" t="s">
        <v>1431</v>
      </c>
      <c r="F157" s="13" t="s">
        <v>1646</v>
      </c>
      <c r="G157" s="13" t="s">
        <v>1647</v>
      </c>
      <c r="H157" s="13" t="s">
        <v>622</v>
      </c>
      <c r="I157" s="13">
        <v>0</v>
      </c>
      <c r="J157" s="13">
        <v>0</v>
      </c>
      <c r="K157" s="13">
        <v>0</v>
      </c>
    </row>
    <row r="158" spans="1:11">
      <c r="A158" s="15" t="str">
        <f>VLOOKUP(E158,Table1[[#All],[Campo]],1,0)</f>
        <v>accntng_clssfctn</v>
      </c>
      <c r="B158" s="13" t="s">
        <v>1709</v>
      </c>
      <c r="C158" s="13" t="s">
        <v>1710</v>
      </c>
      <c r="D158" s="13" t="s">
        <v>1645</v>
      </c>
      <c r="E158" s="13" t="s">
        <v>1431</v>
      </c>
      <c r="F158" s="13" t="s">
        <v>1646</v>
      </c>
      <c r="G158" s="13" t="s">
        <v>1647</v>
      </c>
      <c r="H158" s="13" t="s">
        <v>622</v>
      </c>
      <c r="I158" s="13">
        <v>9</v>
      </c>
      <c r="J158" s="13">
        <v>0</v>
      </c>
      <c r="K158" s="13">
        <v>0</v>
      </c>
    </row>
    <row r="159" spans="1:11">
      <c r="A159" s="15" t="str">
        <f>VLOOKUP(E159,Table1[[#All],[Campo]],1,0)</f>
        <v>OFF_BLNC_SHT_AMNT_INSTRMNT</v>
      </c>
      <c r="B159" s="13" t="s">
        <v>1711</v>
      </c>
      <c r="C159" s="13" t="s">
        <v>1712</v>
      </c>
      <c r="D159" s="13" t="s">
        <v>1645</v>
      </c>
      <c r="E159" s="13" t="s">
        <v>1434</v>
      </c>
      <c r="F159" s="13" t="s">
        <v>1646</v>
      </c>
      <c r="G159" s="13" t="s">
        <v>1647</v>
      </c>
      <c r="H159" s="13" t="s">
        <v>1340</v>
      </c>
      <c r="I159" s="13">
        <v>2002318</v>
      </c>
      <c r="J159" s="13">
        <v>317</v>
      </c>
      <c r="K159" s="13">
        <v>1.5800000000000002E-2</v>
      </c>
    </row>
    <row r="160" spans="1:11">
      <c r="A160" s="15" t="str">
        <f>VLOOKUP(E160,Table1[[#All],[Campo]],1,0)</f>
        <v>OFF_BLNC_SHT_AMNT_INSTRMNT</v>
      </c>
      <c r="B160" s="13" t="s">
        <v>1713</v>
      </c>
      <c r="C160" s="13" t="s">
        <v>1714</v>
      </c>
      <c r="D160" s="13" t="s">
        <v>1645</v>
      </c>
      <c r="E160" s="13" t="s">
        <v>1434</v>
      </c>
      <c r="F160" s="13" t="s">
        <v>1646</v>
      </c>
      <c r="G160" s="13" t="s">
        <v>1647</v>
      </c>
      <c r="H160" s="13" t="s">
        <v>622</v>
      </c>
      <c r="I160" s="13">
        <v>1646037</v>
      </c>
      <c r="J160" s="13">
        <v>0</v>
      </c>
      <c r="K160" s="13">
        <v>0</v>
      </c>
    </row>
    <row r="161" spans="1:11">
      <c r="A161" s="15" t="str">
        <f>VLOOKUP(E161,Table1[[#All],[Campo]],1,0)</f>
        <v>OFF_BLNC_SHT_AMNT_INSTRMNT</v>
      </c>
      <c r="B161" s="13" t="s">
        <v>1715</v>
      </c>
      <c r="C161" s="13" t="s">
        <v>1716</v>
      </c>
      <c r="D161" s="13" t="s">
        <v>1645</v>
      </c>
      <c r="E161" s="13" t="s">
        <v>1434</v>
      </c>
      <c r="F161" s="13" t="s">
        <v>1646</v>
      </c>
      <c r="G161" s="13" t="s">
        <v>1647</v>
      </c>
      <c r="H161" s="13" t="s">
        <v>622</v>
      </c>
      <c r="I161" s="13">
        <v>253</v>
      </c>
      <c r="J161" s="13">
        <v>0</v>
      </c>
      <c r="K161" s="13">
        <v>0</v>
      </c>
    </row>
    <row r="162" spans="1:11">
      <c r="A162" s="15" t="str">
        <f>VLOOKUP(E162,Table1[[#All],[Campo]],1,0)</f>
        <v>OFF_BLNC_SHT_AMNT_INSTRMNT</v>
      </c>
      <c r="B162" s="13" t="s">
        <v>1717</v>
      </c>
      <c r="C162" s="13" t="s">
        <v>1718</v>
      </c>
      <c r="D162" s="13" t="s">
        <v>1645</v>
      </c>
      <c r="E162" s="13" t="s">
        <v>1434</v>
      </c>
      <c r="F162" s="13" t="s">
        <v>1646</v>
      </c>
      <c r="G162" s="13" t="s">
        <v>1647</v>
      </c>
      <c r="H162" s="13" t="s">
        <v>622</v>
      </c>
      <c r="I162" s="13">
        <v>3</v>
      </c>
      <c r="J162" s="13">
        <v>0</v>
      </c>
      <c r="K162" s="13">
        <v>0</v>
      </c>
    </row>
    <row r="163" spans="1:11">
      <c r="A163" s="15" t="e">
        <f>VLOOKUP(E163,Table1[[#All],[Campo]],1,0)</f>
        <v>#N/A</v>
      </c>
      <c r="B163" s="13" t="s">
        <v>1719</v>
      </c>
      <c r="C163" s="13" t="s">
        <v>1720</v>
      </c>
      <c r="D163" s="13" t="s">
        <v>1645</v>
      </c>
      <c r="E163" s="13" t="s">
        <v>1437</v>
      </c>
      <c r="F163" s="13" t="s">
        <v>1646</v>
      </c>
      <c r="G163" s="13" t="s">
        <v>1647</v>
      </c>
      <c r="H163" s="13" t="s">
        <v>622</v>
      </c>
      <c r="I163" s="13">
        <v>0</v>
      </c>
      <c r="J163" s="13">
        <v>0</v>
      </c>
      <c r="K163" s="13">
        <v>0</v>
      </c>
    </row>
    <row r="164" spans="1:11">
      <c r="A164" s="15" t="e">
        <f>VLOOKUP(E164,Table1[[#All],[Campo]],1,0)</f>
        <v>#N/A</v>
      </c>
      <c r="B164" s="13" t="s">
        <v>1721</v>
      </c>
      <c r="C164" s="13" t="s">
        <v>1722</v>
      </c>
      <c r="D164" s="13" t="s">
        <v>1645</v>
      </c>
      <c r="E164" s="13" t="s">
        <v>1437</v>
      </c>
      <c r="F164" s="13" t="s">
        <v>1646</v>
      </c>
      <c r="G164" s="13" t="s">
        <v>1647</v>
      </c>
      <c r="H164" s="13" t="s">
        <v>622</v>
      </c>
      <c r="I164" s="13">
        <v>3</v>
      </c>
      <c r="J164" s="13">
        <v>0</v>
      </c>
      <c r="K164" s="13">
        <v>0</v>
      </c>
    </row>
    <row r="165" spans="1:11">
      <c r="A165" s="15" t="str">
        <f>VLOOKUP(E165,Table1[[#All],[Campo]],1,0)</f>
        <v>accmltd_imprmnt_instrmnt</v>
      </c>
      <c r="B165" s="13" t="s">
        <v>1723</v>
      </c>
      <c r="C165" s="13" t="s">
        <v>1724</v>
      </c>
      <c r="D165" s="13" t="s">
        <v>1645</v>
      </c>
      <c r="E165" s="13" t="s">
        <v>1443</v>
      </c>
      <c r="F165" s="13" t="s">
        <v>1646</v>
      </c>
      <c r="G165" s="13" t="s">
        <v>1647</v>
      </c>
      <c r="H165" s="13" t="s">
        <v>622</v>
      </c>
      <c r="I165" s="13">
        <v>0</v>
      </c>
      <c r="J165" s="13">
        <v>0</v>
      </c>
      <c r="K165" s="13">
        <v>0</v>
      </c>
    </row>
    <row r="166" spans="1:11">
      <c r="A166" s="15" t="str">
        <f>VLOOKUP(E166,Table1[[#All],[Campo]],1,0)</f>
        <v>accmltd_imprmnt_instrmnt</v>
      </c>
      <c r="B166" s="13" t="s">
        <v>1725</v>
      </c>
      <c r="C166" s="13" t="s">
        <v>1726</v>
      </c>
      <c r="D166" s="13" t="s">
        <v>1645</v>
      </c>
      <c r="E166" s="13" t="s">
        <v>1443</v>
      </c>
      <c r="F166" s="13" t="s">
        <v>1646</v>
      </c>
      <c r="G166" s="13" t="s">
        <v>1647</v>
      </c>
      <c r="H166" s="13" t="s">
        <v>622</v>
      </c>
      <c r="I166" s="13">
        <v>277512</v>
      </c>
      <c r="J166" s="13">
        <v>0</v>
      </c>
      <c r="K166" s="13">
        <v>0</v>
      </c>
    </row>
    <row r="167" spans="1:11">
      <c r="A167" s="15" t="str">
        <f>VLOOKUP(E167,Table1[[#All],[Campo]],1,0)</f>
        <v>accmltd_imprmnt_instrmnt</v>
      </c>
      <c r="B167" s="13" t="s">
        <v>1727</v>
      </c>
      <c r="C167" s="13" t="s">
        <v>1728</v>
      </c>
      <c r="D167" s="13" t="s">
        <v>1645</v>
      </c>
      <c r="E167" s="13" t="s">
        <v>1443</v>
      </c>
      <c r="F167" s="13" t="s">
        <v>1646</v>
      </c>
      <c r="G167" s="13" t="s">
        <v>1647</v>
      </c>
      <c r="H167" s="13" t="s">
        <v>622</v>
      </c>
      <c r="I167" s="13">
        <v>3</v>
      </c>
      <c r="J167" s="13">
        <v>0</v>
      </c>
      <c r="K167" s="13">
        <v>0</v>
      </c>
    </row>
    <row r="168" spans="1:11">
      <c r="A168" s="15" t="str">
        <f>VLOOKUP(E168,Table1[[#All],[Campo]],1,0)</f>
        <v>sstnbl_indctr</v>
      </c>
      <c r="B168" s="13" t="s">
        <v>1729</v>
      </c>
      <c r="C168" s="13" t="s">
        <v>1730</v>
      </c>
      <c r="D168" s="13" t="s">
        <v>1645</v>
      </c>
      <c r="E168" s="13" t="s">
        <v>1349</v>
      </c>
      <c r="F168" s="13" t="s">
        <v>1646</v>
      </c>
      <c r="G168" s="13" t="s">
        <v>1647</v>
      </c>
      <c r="H168" s="13" t="s">
        <v>622</v>
      </c>
      <c r="I168" s="13">
        <v>0</v>
      </c>
      <c r="J168" s="13">
        <v>0</v>
      </c>
      <c r="K168" s="13">
        <v>0</v>
      </c>
    </row>
    <row r="169" spans="1:11">
      <c r="A169" s="15" t="str">
        <f>VLOOKUP(E169,Table1[[#All],[Campo]],1,0)</f>
        <v>sstnbl_indctr</v>
      </c>
      <c r="B169" s="13" t="s">
        <v>1731</v>
      </c>
      <c r="C169" s="13" t="s">
        <v>1732</v>
      </c>
      <c r="D169" s="13" t="s">
        <v>1645</v>
      </c>
      <c r="E169" s="13" t="s">
        <v>1349</v>
      </c>
      <c r="F169" s="13" t="s">
        <v>1646</v>
      </c>
      <c r="G169" s="13" t="s">
        <v>1647</v>
      </c>
      <c r="H169" s="13" t="s">
        <v>622</v>
      </c>
      <c r="I169" s="13">
        <v>0</v>
      </c>
      <c r="J169" s="13">
        <v>0</v>
      </c>
      <c r="K169" s="13">
        <v>0</v>
      </c>
    </row>
    <row r="170" spans="1:11">
      <c r="A170" s="15" t="str">
        <f>VLOOKUP(E170,Table1[[#All],[Campo]],1,0)</f>
        <v>sstnbl_ctgry</v>
      </c>
      <c r="B170" s="13" t="s">
        <v>1733</v>
      </c>
      <c r="C170" s="13" t="s">
        <v>1734</v>
      </c>
      <c r="D170" s="13" t="s">
        <v>1650</v>
      </c>
      <c r="E170" s="13" t="s">
        <v>1353</v>
      </c>
      <c r="F170" s="13" t="s">
        <v>1646</v>
      </c>
      <c r="G170" s="13" t="s">
        <v>1647</v>
      </c>
      <c r="H170" s="13" t="s">
        <v>622</v>
      </c>
      <c r="I170" s="13">
        <v>0</v>
      </c>
      <c r="J170" s="13">
        <v>0</v>
      </c>
      <c r="K170" s="13">
        <v>0</v>
      </c>
    </row>
    <row r="171" spans="1:11">
      <c r="A171" s="15" t="str">
        <f>VLOOKUP(E171,Table1[[#All],[Campo]],1,0)</f>
        <v>sstnbl_ctgry</v>
      </c>
      <c r="B171" s="13" t="s">
        <v>1735</v>
      </c>
      <c r="C171" s="13" t="s">
        <v>1736</v>
      </c>
      <c r="D171" s="13" t="s">
        <v>1650</v>
      </c>
      <c r="E171" s="13" t="s">
        <v>1353</v>
      </c>
      <c r="F171" s="13" t="s">
        <v>1646</v>
      </c>
      <c r="G171" s="13" t="s">
        <v>1647</v>
      </c>
      <c r="H171" s="13" t="s">
        <v>622</v>
      </c>
      <c r="I171" s="13">
        <v>0</v>
      </c>
      <c r="J171" s="13">
        <v>0</v>
      </c>
      <c r="K171" s="13">
        <v>0</v>
      </c>
    </row>
    <row r="172" spans="1:11">
      <c r="A172" s="15" t="str">
        <f>VLOOKUP(E172,Table1[[#All],[Campo]],1,0)</f>
        <v>sstnbl_ctgry</v>
      </c>
      <c r="B172" s="13" t="s">
        <v>1737</v>
      </c>
      <c r="C172" s="13" t="s">
        <v>1738</v>
      </c>
      <c r="D172" s="13" t="s">
        <v>1650</v>
      </c>
      <c r="E172" s="13" t="s">
        <v>1353</v>
      </c>
      <c r="F172" s="13" t="s">
        <v>1646</v>
      </c>
      <c r="G172" s="13" t="s">
        <v>1647</v>
      </c>
      <c r="H172" s="13" t="s">
        <v>622</v>
      </c>
      <c r="I172" s="13">
        <v>0</v>
      </c>
      <c r="J172" s="13">
        <v>0</v>
      </c>
      <c r="K172" s="13">
        <v>0</v>
      </c>
    </row>
    <row r="173" spans="1:11">
      <c r="A173" s="15" t="str">
        <f>VLOOKUP(E173,Table1[[#All],[Campo]],1,0)</f>
        <v>sstnbl_ctgry</v>
      </c>
      <c r="B173" s="13" t="s">
        <v>1739</v>
      </c>
      <c r="C173" s="13" t="s">
        <v>1740</v>
      </c>
      <c r="D173" s="13" t="s">
        <v>1650</v>
      </c>
      <c r="E173" s="13" t="s">
        <v>1353</v>
      </c>
      <c r="F173" s="13" t="s">
        <v>1646</v>
      </c>
      <c r="G173" s="13" t="s">
        <v>1647</v>
      </c>
      <c r="H173" s="13" t="s">
        <v>622</v>
      </c>
      <c r="I173" s="13">
        <v>0</v>
      </c>
      <c r="J173" s="13">
        <v>0</v>
      </c>
      <c r="K173" s="13">
        <v>0</v>
      </c>
    </row>
    <row r="174" spans="1:11">
      <c r="A174" s="15" t="str">
        <f>VLOOKUP(E174,Table1[[#All],[Campo]],1,0)</f>
        <v>sstnbl_ctgry</v>
      </c>
      <c r="B174" s="13" t="s">
        <v>1741</v>
      </c>
      <c r="C174" s="13" t="s">
        <v>1742</v>
      </c>
      <c r="D174" s="13" t="s">
        <v>1650</v>
      </c>
      <c r="E174" s="13" t="s">
        <v>1353</v>
      </c>
      <c r="F174" s="13" t="s">
        <v>1646</v>
      </c>
      <c r="G174" s="13" t="s">
        <v>1647</v>
      </c>
      <c r="H174" s="13" t="s">
        <v>622</v>
      </c>
      <c r="I174" s="13">
        <v>0</v>
      </c>
      <c r="J174" s="13">
        <v>0</v>
      </c>
      <c r="K174" s="13">
        <v>0</v>
      </c>
    </row>
    <row r="175" spans="1:11">
      <c r="A175" s="15" t="str">
        <f>VLOOKUP(E175,Table1[[#All],[Campo]],1,0)</f>
        <v>sstnbl_ctgry</v>
      </c>
      <c r="B175" s="13" t="s">
        <v>1743</v>
      </c>
      <c r="C175" s="13" t="s">
        <v>1744</v>
      </c>
      <c r="D175" s="13" t="s">
        <v>1650</v>
      </c>
      <c r="E175" s="13" t="s">
        <v>1353</v>
      </c>
      <c r="F175" s="13" t="s">
        <v>1646</v>
      </c>
      <c r="G175" s="13" t="s">
        <v>1647</v>
      </c>
      <c r="H175" s="13" t="s">
        <v>622</v>
      </c>
      <c r="I175" s="13">
        <v>0</v>
      </c>
      <c r="J175" s="13">
        <v>0</v>
      </c>
      <c r="K175" s="13">
        <v>0</v>
      </c>
    </row>
    <row r="176" spans="1:11">
      <c r="A176" s="15" t="str">
        <f>VLOOKUP(E176,Table1[[#All],[Campo]],1,0)</f>
        <v>sstnbl_ctgry</v>
      </c>
      <c r="B176" s="13" t="s">
        <v>1745</v>
      </c>
      <c r="C176" s="13" t="s">
        <v>1746</v>
      </c>
      <c r="D176" s="13" t="s">
        <v>1650</v>
      </c>
      <c r="E176" s="13" t="s">
        <v>1353</v>
      </c>
      <c r="F176" s="13" t="s">
        <v>1646</v>
      </c>
      <c r="G176" s="13" t="s">
        <v>1647</v>
      </c>
      <c r="H176" s="13" t="s">
        <v>622</v>
      </c>
      <c r="I176" s="13">
        <v>0</v>
      </c>
      <c r="J176" s="13">
        <v>0</v>
      </c>
      <c r="K176" s="13">
        <v>0</v>
      </c>
    </row>
    <row r="177" spans="1:11">
      <c r="A177" s="15" t="str">
        <f>VLOOKUP(E177,Table1[[#All],[Campo]],1,0)</f>
        <v>sstnbl_ctgry</v>
      </c>
      <c r="B177" s="13" t="s">
        <v>1747</v>
      </c>
      <c r="C177" s="13" t="s">
        <v>1748</v>
      </c>
      <c r="D177" s="13" t="s">
        <v>1650</v>
      </c>
      <c r="E177" s="13" t="s">
        <v>1353</v>
      </c>
      <c r="F177" s="13" t="s">
        <v>1646</v>
      </c>
      <c r="G177" s="13" t="s">
        <v>1647</v>
      </c>
      <c r="H177" s="13" t="s">
        <v>622</v>
      </c>
      <c r="I177" s="13">
        <v>0</v>
      </c>
      <c r="J177" s="13">
        <v>0</v>
      </c>
      <c r="K177" s="13">
        <v>0</v>
      </c>
    </row>
    <row r="178" spans="1:11">
      <c r="A178" s="15" t="str">
        <f>VLOOKUP(E178,Table1[[#All],[Campo]],1,0)</f>
        <v>sstnbl_ctgry</v>
      </c>
      <c r="B178" s="13" t="s">
        <v>1749</v>
      </c>
      <c r="C178" s="13" t="s">
        <v>1750</v>
      </c>
      <c r="D178" s="13" t="s">
        <v>1650</v>
      </c>
      <c r="E178" s="13" t="s">
        <v>1353</v>
      </c>
      <c r="F178" s="13" t="s">
        <v>1646</v>
      </c>
      <c r="G178" s="13" t="s">
        <v>1647</v>
      </c>
      <c r="H178" s="13" t="s">
        <v>622</v>
      </c>
      <c r="I178" s="13">
        <v>0</v>
      </c>
      <c r="J178" s="13">
        <v>0</v>
      </c>
      <c r="K178" s="13">
        <v>0</v>
      </c>
    </row>
    <row r="179" spans="1:11">
      <c r="A179" s="15" t="str">
        <f>VLOOKUP(E179,Table1[[#All],[Campo]],1,0)</f>
        <v>sstnbl_ctgry</v>
      </c>
      <c r="B179" s="13" t="s">
        <v>1751</v>
      </c>
      <c r="C179" s="13" t="s">
        <v>1752</v>
      </c>
      <c r="D179" s="13" t="s">
        <v>1650</v>
      </c>
      <c r="E179" s="13" t="s">
        <v>1353</v>
      </c>
      <c r="F179" s="13" t="s">
        <v>1646</v>
      </c>
      <c r="G179" s="13" t="s">
        <v>1647</v>
      </c>
      <c r="H179" s="13" t="s">
        <v>622</v>
      </c>
      <c r="I179" s="13">
        <v>0</v>
      </c>
      <c r="J179" s="13">
        <v>0</v>
      </c>
      <c r="K179" s="13">
        <v>0</v>
      </c>
    </row>
    <row r="180" spans="1:11">
      <c r="A180" s="15" t="str">
        <f>VLOOKUP(E180,Table1[[#All],[Campo]],1,0)</f>
        <v>sstnbl_ctgry</v>
      </c>
      <c r="B180" s="13" t="s">
        <v>1753</v>
      </c>
      <c r="C180" s="13" t="s">
        <v>1754</v>
      </c>
      <c r="D180" s="13" t="s">
        <v>1650</v>
      </c>
      <c r="E180" s="13" t="s">
        <v>1353</v>
      </c>
      <c r="F180" s="13" t="s">
        <v>1646</v>
      </c>
      <c r="G180" s="13" t="s">
        <v>1647</v>
      </c>
      <c r="H180" s="13" t="s">
        <v>622</v>
      </c>
      <c r="I180" s="13">
        <v>0</v>
      </c>
      <c r="J180" s="13">
        <v>0</v>
      </c>
      <c r="K180" s="13">
        <v>0</v>
      </c>
    </row>
    <row r="181" spans="1:11">
      <c r="A181" s="15" t="str">
        <f>VLOOKUP(E181,Table1[[#All],[Campo]],1,0)</f>
        <v>sstnbl_ctgry</v>
      </c>
      <c r="B181" s="13" t="s">
        <v>1755</v>
      </c>
      <c r="C181" s="13" t="s">
        <v>1756</v>
      </c>
      <c r="D181" s="13" t="s">
        <v>1650</v>
      </c>
      <c r="E181" s="13" t="s">
        <v>1353</v>
      </c>
      <c r="F181" s="13" t="s">
        <v>1646</v>
      </c>
      <c r="G181" s="13" t="s">
        <v>1647</v>
      </c>
      <c r="H181" s="13" t="s">
        <v>622</v>
      </c>
      <c r="I181" s="13">
        <v>0</v>
      </c>
      <c r="J181" s="13">
        <v>0</v>
      </c>
      <c r="K181" s="13">
        <v>0</v>
      </c>
    </row>
    <row r="182" spans="1:11">
      <c r="A182" s="15" t="str">
        <f>VLOOKUP(E182,Table1[[#All],[Campo]],1,0)</f>
        <v>sstnbl_ctgry</v>
      </c>
      <c r="B182" s="13" t="s">
        <v>1757</v>
      </c>
      <c r="C182" s="13" t="s">
        <v>1758</v>
      </c>
      <c r="D182" s="13" t="s">
        <v>1650</v>
      </c>
      <c r="E182" s="13" t="s">
        <v>1353</v>
      </c>
      <c r="F182" s="13" t="s">
        <v>1646</v>
      </c>
      <c r="G182" s="13" t="s">
        <v>1647</v>
      </c>
      <c r="H182" s="13" t="s">
        <v>622</v>
      </c>
      <c r="I182" s="13">
        <v>0</v>
      </c>
      <c r="J182" s="13">
        <v>0</v>
      </c>
      <c r="K182" s="13">
        <v>0</v>
      </c>
    </row>
    <row r="183" spans="1:11">
      <c r="A183" s="15" t="str">
        <f>VLOOKUP(E183,Table1[[#All],[Campo]],1,0)</f>
        <v>sstnbl_ctgry</v>
      </c>
      <c r="B183" s="13" t="s">
        <v>1759</v>
      </c>
      <c r="C183" s="13" t="s">
        <v>1760</v>
      </c>
      <c r="D183" s="13" t="s">
        <v>1650</v>
      </c>
      <c r="E183" s="13" t="s">
        <v>1353</v>
      </c>
      <c r="F183" s="13" t="s">
        <v>1646</v>
      </c>
      <c r="G183" s="13" t="s">
        <v>1647</v>
      </c>
      <c r="H183" s="13" t="s">
        <v>622</v>
      </c>
      <c r="I183" s="13">
        <v>0</v>
      </c>
      <c r="J183" s="13">
        <v>0</v>
      </c>
      <c r="K183" s="13">
        <v>0</v>
      </c>
    </row>
    <row r="184" spans="1:11">
      <c r="A184" s="15" t="str">
        <f>VLOOKUP(E184,Table1[[#All],[Campo]],1,0)</f>
        <v>grss_intrst_incm</v>
      </c>
      <c r="B184" s="13" t="s">
        <v>1761</v>
      </c>
      <c r="C184" s="13" t="s">
        <v>1762</v>
      </c>
      <c r="D184" s="13" t="s">
        <v>1645</v>
      </c>
      <c r="E184" s="13" t="s">
        <v>1460</v>
      </c>
      <c r="F184" s="13" t="s">
        <v>1646</v>
      </c>
      <c r="G184" s="13" t="s">
        <v>1647</v>
      </c>
      <c r="H184" s="13" t="s">
        <v>622</v>
      </c>
      <c r="I184" s="13">
        <v>0</v>
      </c>
      <c r="J184" s="13">
        <v>0</v>
      </c>
      <c r="K184" s="13">
        <v>0</v>
      </c>
    </row>
    <row r="185" spans="1:11">
      <c r="A185" s="15" t="str">
        <f>VLOOKUP(E185,Table1[[#All],[Campo]],1,0)</f>
        <v>grss_intrst_incm</v>
      </c>
      <c r="B185" s="13" t="s">
        <v>1763</v>
      </c>
      <c r="C185" s="13" t="s">
        <v>1764</v>
      </c>
      <c r="D185" s="13" t="s">
        <v>1645</v>
      </c>
      <c r="E185" s="13" t="s">
        <v>1460</v>
      </c>
      <c r="F185" s="13" t="s">
        <v>1646</v>
      </c>
      <c r="G185" s="13" t="s">
        <v>1647</v>
      </c>
      <c r="H185" s="13" t="s">
        <v>622</v>
      </c>
      <c r="I185" s="13">
        <v>0</v>
      </c>
      <c r="J185" s="13">
        <v>0</v>
      </c>
      <c r="K185" s="13">
        <v>0</v>
      </c>
    </row>
    <row r="186" spans="1:11">
      <c r="A186" s="15" t="s">
        <v>1461</v>
      </c>
      <c r="B186" s="13" t="s">
        <v>1765</v>
      </c>
      <c r="C186" s="13" t="s">
        <v>1766</v>
      </c>
      <c r="D186" s="13" t="s">
        <v>1645</v>
      </c>
      <c r="E186" s="13" t="s">
        <v>1464</v>
      </c>
      <c r="F186" s="13" t="s">
        <v>1646</v>
      </c>
      <c r="G186" s="13" t="s">
        <v>1647</v>
      </c>
      <c r="H186" s="13" t="s">
        <v>622</v>
      </c>
      <c r="I186" s="13">
        <v>0</v>
      </c>
      <c r="J186" s="13">
        <v>0</v>
      </c>
      <c r="K186" s="13">
        <v>0</v>
      </c>
    </row>
    <row r="187" spans="1:11">
      <c r="A187" s="15" t="s">
        <v>1461</v>
      </c>
      <c r="B187" s="13" t="s">
        <v>1767</v>
      </c>
      <c r="C187" s="13" t="s">
        <v>1768</v>
      </c>
      <c r="D187" s="13" t="s">
        <v>1645</v>
      </c>
      <c r="E187" s="13" t="s">
        <v>1464</v>
      </c>
      <c r="F187" s="13" t="s">
        <v>1646</v>
      </c>
      <c r="G187" s="13" t="s">
        <v>1647</v>
      </c>
      <c r="H187" s="13" t="s">
        <v>622</v>
      </c>
      <c r="I187" s="13">
        <v>0</v>
      </c>
      <c r="J187" s="13">
        <v>0</v>
      </c>
      <c r="K187" s="13">
        <v>0</v>
      </c>
    </row>
    <row r="188" spans="1:11">
      <c r="A188" s="15" t="e">
        <f>VLOOKUP(E188,Table1[[#All],[Campo]],1,0)</f>
        <v>#N/A</v>
      </c>
      <c r="B188" s="13" t="s">
        <v>1769</v>
      </c>
      <c r="C188" s="13" t="s">
        <v>1770</v>
      </c>
      <c r="D188" s="13" t="s">
        <v>1645</v>
      </c>
      <c r="E188" s="13" t="s">
        <v>1475</v>
      </c>
      <c r="F188" s="13" t="s">
        <v>1646</v>
      </c>
      <c r="G188" s="13" t="s">
        <v>1647</v>
      </c>
      <c r="H188" s="13" t="s">
        <v>622</v>
      </c>
      <c r="I188" s="13">
        <v>0</v>
      </c>
      <c r="J188" s="13">
        <v>0</v>
      </c>
      <c r="K188" s="13">
        <v>0</v>
      </c>
    </row>
    <row r="189" spans="1:11">
      <c r="A189" s="15" t="e">
        <f>VLOOKUP(E189,Table1[[#All],[Campo]],1,0)</f>
        <v>#N/A</v>
      </c>
      <c r="B189" s="13" t="s">
        <v>1771</v>
      </c>
      <c r="C189" s="13" t="s">
        <v>1772</v>
      </c>
      <c r="D189" s="13" t="s">
        <v>1645</v>
      </c>
      <c r="E189" s="13" t="s">
        <v>1475</v>
      </c>
      <c r="F189" s="13" t="s">
        <v>1646</v>
      </c>
      <c r="G189" s="13" t="s">
        <v>1647</v>
      </c>
      <c r="H189" s="13" t="s">
        <v>622</v>
      </c>
      <c r="I189" s="13">
        <v>277518</v>
      </c>
      <c r="J189" s="13">
        <v>0</v>
      </c>
      <c r="K189" s="13">
        <v>0</v>
      </c>
    </row>
    <row r="190" spans="1:11">
      <c r="A190" s="15" t="e">
        <f>VLOOKUP(E190,Table1[[#All],[Campo]],1,0)</f>
        <v>#N/A</v>
      </c>
      <c r="B190" s="13" t="s">
        <v>1773</v>
      </c>
      <c r="C190" s="13" t="s">
        <v>1774</v>
      </c>
      <c r="D190" s="13" t="s">
        <v>1645</v>
      </c>
      <c r="E190" s="13" t="s">
        <v>1475</v>
      </c>
      <c r="F190" s="13" t="s">
        <v>1646</v>
      </c>
      <c r="G190" s="13" t="s">
        <v>1647</v>
      </c>
      <c r="H190" s="13" t="s">
        <v>622</v>
      </c>
      <c r="I190" s="13">
        <v>1724892</v>
      </c>
      <c r="J190" s="13">
        <v>0</v>
      </c>
      <c r="K190" s="13">
        <v>0</v>
      </c>
    </row>
    <row r="191" spans="1:11">
      <c r="A191" s="15" t="s">
        <v>1476</v>
      </c>
      <c r="B191" s="13" t="s">
        <v>1775</v>
      </c>
      <c r="C191" s="13" t="s">
        <v>1776</v>
      </c>
      <c r="D191" s="13" t="s">
        <v>1645</v>
      </c>
      <c r="E191" s="13" t="s">
        <v>1479</v>
      </c>
      <c r="F191" s="13" t="s">
        <v>1646</v>
      </c>
      <c r="G191" s="13" t="s">
        <v>1647</v>
      </c>
      <c r="H191" s="13" t="s">
        <v>622</v>
      </c>
      <c r="I191" s="13">
        <v>0</v>
      </c>
      <c r="J191" s="13">
        <v>0</v>
      </c>
      <c r="K191" s="13">
        <v>0</v>
      </c>
    </row>
    <row r="192" spans="1:11">
      <c r="A192" s="15" t="s">
        <v>1476</v>
      </c>
      <c r="B192" s="13" t="s">
        <v>1777</v>
      </c>
      <c r="C192" s="13" t="s">
        <v>1778</v>
      </c>
      <c r="D192" s="13" t="s">
        <v>1645</v>
      </c>
      <c r="E192" s="13" t="s">
        <v>1479</v>
      </c>
      <c r="F192" s="13" t="s">
        <v>1646</v>
      </c>
      <c r="G192" s="13" t="s">
        <v>1647</v>
      </c>
      <c r="H192" s="13" t="s">
        <v>622</v>
      </c>
      <c r="I192" s="13">
        <v>0</v>
      </c>
      <c r="J192" s="13">
        <v>0</v>
      </c>
      <c r="K192" s="13">
        <v>0</v>
      </c>
    </row>
    <row r="193" spans="1:11">
      <c r="A193" s="15" t="e">
        <f>VLOOKUP(E193,Table1[[#All],[Campo]],1,0)</f>
        <v>#N/A</v>
      </c>
      <c r="B193" s="13" t="s">
        <v>1779</v>
      </c>
      <c r="C193" s="13" t="s">
        <v>1780</v>
      </c>
      <c r="D193" s="13" t="s">
        <v>1645</v>
      </c>
      <c r="E193" s="13" t="s">
        <v>1482</v>
      </c>
      <c r="F193" s="13" t="s">
        <v>1646</v>
      </c>
      <c r="G193" s="13" t="s">
        <v>1647</v>
      </c>
      <c r="H193" s="13" t="s">
        <v>622</v>
      </c>
      <c r="I193" s="13">
        <v>0</v>
      </c>
      <c r="J193" s="13">
        <v>0</v>
      </c>
      <c r="K193" s="13">
        <v>0</v>
      </c>
    </row>
    <row r="194" spans="1:11">
      <c r="A194" s="15" t="e">
        <f>VLOOKUP(E194,Table1[[#All],[Campo]],1,0)</f>
        <v>#N/A</v>
      </c>
      <c r="B194" s="13" t="s">
        <v>1781</v>
      </c>
      <c r="C194" s="13" t="s">
        <v>1782</v>
      </c>
      <c r="D194" s="13" t="s">
        <v>1645</v>
      </c>
      <c r="E194" s="13" t="s">
        <v>1482</v>
      </c>
      <c r="F194" s="13" t="s">
        <v>1646</v>
      </c>
      <c r="G194" s="13" t="s">
        <v>1647</v>
      </c>
      <c r="H194" s="13" t="s">
        <v>622</v>
      </c>
      <c r="I194" s="13">
        <v>0</v>
      </c>
      <c r="J194" s="13">
        <v>0</v>
      </c>
      <c r="K194" s="13">
        <v>0</v>
      </c>
    </row>
    <row r="195" spans="1:11">
      <c r="A195" s="15" t="e">
        <f>VLOOKUP(E195,Table1[[#All],[Campo]],1,0)</f>
        <v>#N/A</v>
      </c>
      <c r="B195" s="13" t="s">
        <v>1783</v>
      </c>
      <c r="C195" s="13" t="s">
        <v>1784</v>
      </c>
      <c r="D195" s="13" t="s">
        <v>1645</v>
      </c>
      <c r="E195" s="13" t="s">
        <v>1487</v>
      </c>
      <c r="F195" s="13" t="s">
        <v>1646</v>
      </c>
      <c r="G195" s="13" t="s">
        <v>1647</v>
      </c>
      <c r="H195" s="13" t="s">
        <v>622</v>
      </c>
      <c r="I195" s="13">
        <v>0</v>
      </c>
      <c r="J195" s="13">
        <v>0</v>
      </c>
      <c r="K195" s="13">
        <v>0</v>
      </c>
    </row>
    <row r="196" spans="1:11">
      <c r="A196" s="15" t="e">
        <f>VLOOKUP(E196,Table1[[#All],[Campo]],1,0)</f>
        <v>#N/A</v>
      </c>
      <c r="B196" s="13" t="s">
        <v>1785</v>
      </c>
      <c r="C196" s="13" t="s">
        <v>1786</v>
      </c>
      <c r="D196" s="13" t="s">
        <v>1645</v>
      </c>
      <c r="E196" s="13" t="s">
        <v>1487</v>
      </c>
      <c r="F196" s="13" t="s">
        <v>1646</v>
      </c>
      <c r="G196" s="13" t="s">
        <v>1647</v>
      </c>
      <c r="H196" s="13" t="s">
        <v>622</v>
      </c>
      <c r="I196" s="13">
        <v>0</v>
      </c>
      <c r="J196" s="13">
        <v>0</v>
      </c>
      <c r="K196" s="13">
        <v>0</v>
      </c>
    </row>
    <row r="197" spans="1:11">
      <c r="A197" s="15" t="e">
        <f>VLOOKUP(E197,Table1[[#All],[Campo]],1,0)</f>
        <v>#N/A</v>
      </c>
      <c r="B197" s="13" t="s">
        <v>1787</v>
      </c>
      <c r="C197" s="13" t="s">
        <v>1788</v>
      </c>
      <c r="D197" s="13" t="s">
        <v>1645</v>
      </c>
      <c r="E197" s="13" t="s">
        <v>1490</v>
      </c>
      <c r="F197" s="13" t="s">
        <v>1646</v>
      </c>
      <c r="G197" s="13" t="s">
        <v>1647</v>
      </c>
      <c r="H197" s="13" t="s">
        <v>622</v>
      </c>
      <c r="I197" s="13">
        <v>0</v>
      </c>
      <c r="J197" s="13">
        <v>0</v>
      </c>
      <c r="K197" s="13">
        <v>0</v>
      </c>
    </row>
    <row r="198" spans="1:11">
      <c r="A198" s="15" t="e">
        <f>VLOOKUP(E198,Table1[[#All],[Campo]],1,0)</f>
        <v>#N/A</v>
      </c>
      <c r="B198" s="13" t="s">
        <v>1789</v>
      </c>
      <c r="C198" s="13" t="s">
        <v>1790</v>
      </c>
      <c r="D198" s="13" t="s">
        <v>1645</v>
      </c>
      <c r="E198" s="13" t="s">
        <v>1490</v>
      </c>
      <c r="F198" s="13" t="s">
        <v>1646</v>
      </c>
      <c r="G198" s="13" t="s">
        <v>1647</v>
      </c>
      <c r="H198" s="13" t="s">
        <v>622</v>
      </c>
      <c r="I198" s="13">
        <v>0</v>
      </c>
      <c r="J198" s="13">
        <v>0</v>
      </c>
      <c r="K198" s="13">
        <v>0</v>
      </c>
    </row>
    <row r="199" spans="1:11">
      <c r="A199" s="15" t="e">
        <f>VLOOKUP(E199,Table1[[#All],[Campo]],1,0)</f>
        <v>#N/A</v>
      </c>
      <c r="B199" s="13" t="s">
        <v>1791</v>
      </c>
      <c r="C199" s="13" t="s">
        <v>1792</v>
      </c>
      <c r="D199" s="13" t="s">
        <v>1645</v>
      </c>
      <c r="E199" s="13" t="s">
        <v>1493</v>
      </c>
      <c r="F199" s="13" t="s">
        <v>1646</v>
      </c>
      <c r="G199" s="13" t="s">
        <v>1647</v>
      </c>
      <c r="H199" s="13" t="s">
        <v>622</v>
      </c>
      <c r="I199" s="13">
        <v>0</v>
      </c>
      <c r="J199" s="13">
        <v>0</v>
      </c>
      <c r="K199" s="13">
        <v>0</v>
      </c>
    </row>
    <row r="200" spans="1:11">
      <c r="A200" s="15" t="e">
        <f>VLOOKUP(E200,Table1[[#All],[Campo]],1,0)</f>
        <v>#N/A</v>
      </c>
      <c r="B200" s="13" t="s">
        <v>1793</v>
      </c>
      <c r="C200" s="13" t="s">
        <v>1794</v>
      </c>
      <c r="D200" s="13" t="s">
        <v>1645</v>
      </c>
      <c r="E200" s="13" t="s">
        <v>1493</v>
      </c>
      <c r="F200" s="13" t="s">
        <v>1646</v>
      </c>
      <c r="G200" s="13" t="s">
        <v>1647</v>
      </c>
      <c r="H200" s="13" t="s">
        <v>622</v>
      </c>
      <c r="I200" s="13">
        <v>0</v>
      </c>
      <c r="J200" s="13">
        <v>0</v>
      </c>
      <c r="K200" s="13">
        <v>0</v>
      </c>
    </row>
    <row r="201" spans="1:11">
      <c r="A201" s="15" t="e">
        <f>VLOOKUP(E201,Table1[[#All],[Campo]],1,0)</f>
        <v>#N/A</v>
      </c>
      <c r="B201" s="13" t="s">
        <v>1795</v>
      </c>
      <c r="C201" s="13" t="s">
        <v>1796</v>
      </c>
      <c r="D201" s="13" t="s">
        <v>1645</v>
      </c>
      <c r="E201" s="13" t="s">
        <v>1493</v>
      </c>
      <c r="F201" s="13" t="s">
        <v>1646</v>
      </c>
      <c r="G201" s="13" t="s">
        <v>1647</v>
      </c>
      <c r="H201" s="13" t="s">
        <v>622</v>
      </c>
      <c r="I201" s="13">
        <v>0</v>
      </c>
      <c r="J201" s="13">
        <v>0</v>
      </c>
      <c r="K201" s="13">
        <v>0</v>
      </c>
    </row>
    <row r="202" spans="1:11">
      <c r="A202" s="15" t="e">
        <f>VLOOKUP(E202,Table1[[#All],[Campo]],1,0)</f>
        <v>#N/A</v>
      </c>
      <c r="B202" s="13" t="s">
        <v>1797</v>
      </c>
      <c r="C202" s="13" t="s">
        <v>1798</v>
      </c>
      <c r="D202" s="13" t="s">
        <v>1645</v>
      </c>
      <c r="E202" s="13" t="s">
        <v>1496</v>
      </c>
      <c r="F202" s="13" t="s">
        <v>1646</v>
      </c>
      <c r="G202" s="13" t="s">
        <v>1647</v>
      </c>
      <c r="H202" s="13" t="s">
        <v>622</v>
      </c>
      <c r="I202" s="13">
        <v>0</v>
      </c>
      <c r="J202" s="13">
        <v>0</v>
      </c>
      <c r="K202" s="13">
        <v>0</v>
      </c>
    </row>
    <row r="203" spans="1:11">
      <c r="A203" s="15" t="e">
        <f>VLOOKUP(E203,Table1[[#All],[Campo]],1,0)</f>
        <v>#N/A</v>
      </c>
      <c r="B203" s="13" t="s">
        <v>1799</v>
      </c>
      <c r="C203" s="13" t="s">
        <v>1800</v>
      </c>
      <c r="D203" s="13" t="s">
        <v>1645</v>
      </c>
      <c r="E203" s="13" t="s">
        <v>1499</v>
      </c>
      <c r="F203" s="13" t="s">
        <v>1646</v>
      </c>
      <c r="G203" s="13" t="s">
        <v>1647</v>
      </c>
      <c r="H203" s="13" t="s">
        <v>622</v>
      </c>
      <c r="I203" s="13">
        <v>0</v>
      </c>
      <c r="J203" s="13">
        <v>0</v>
      </c>
      <c r="K203" s="13">
        <v>0</v>
      </c>
    </row>
    <row r="204" spans="1:11">
      <c r="A204" s="15" t="s">
        <v>1500</v>
      </c>
      <c r="B204" s="13" t="s">
        <v>1801</v>
      </c>
      <c r="C204" s="13" t="s">
        <v>1802</v>
      </c>
      <c r="D204" s="13" t="s">
        <v>1645</v>
      </c>
      <c r="E204" s="13" t="s">
        <v>1503</v>
      </c>
      <c r="F204" s="13" t="s">
        <v>1646</v>
      </c>
      <c r="G204" s="13" t="s">
        <v>1647</v>
      </c>
      <c r="H204" s="13" t="s">
        <v>622</v>
      </c>
      <c r="I204" s="13">
        <v>0</v>
      </c>
      <c r="J204" s="13">
        <v>0</v>
      </c>
      <c r="K204" s="13">
        <v>0</v>
      </c>
    </row>
    <row r="205" spans="1:11">
      <c r="A205" s="15" t="s">
        <v>1500</v>
      </c>
      <c r="B205" s="13" t="s">
        <v>1803</v>
      </c>
      <c r="C205" s="13" t="s">
        <v>1804</v>
      </c>
      <c r="D205" s="13" t="s">
        <v>1645</v>
      </c>
      <c r="E205" s="13" t="s">
        <v>1503</v>
      </c>
      <c r="F205" s="13" t="s">
        <v>1646</v>
      </c>
      <c r="G205" s="13" t="s">
        <v>1647</v>
      </c>
      <c r="H205" s="13" t="s">
        <v>622</v>
      </c>
      <c r="I205" s="13">
        <v>0</v>
      </c>
      <c r="J205" s="13">
        <v>0</v>
      </c>
      <c r="K205" s="13">
        <v>0</v>
      </c>
    </row>
    <row r="206" spans="1:11">
      <c r="A206" s="15" t="s">
        <v>1500</v>
      </c>
      <c r="B206" s="13" t="s">
        <v>1805</v>
      </c>
      <c r="C206" s="13" t="s">
        <v>1806</v>
      </c>
      <c r="D206" s="13" t="s">
        <v>1645</v>
      </c>
      <c r="E206" s="13" t="s">
        <v>1503</v>
      </c>
      <c r="F206" s="13" t="s">
        <v>1646</v>
      </c>
      <c r="G206" s="13" t="s">
        <v>1647</v>
      </c>
      <c r="H206" s="13" t="s">
        <v>622</v>
      </c>
      <c r="I206" s="13">
        <v>0</v>
      </c>
      <c r="J206" s="13">
        <v>0</v>
      </c>
      <c r="K206" s="13">
        <v>0</v>
      </c>
    </row>
    <row r="207" spans="1:11">
      <c r="A207" s="15" t="s">
        <v>1504</v>
      </c>
      <c r="B207" s="13" t="s">
        <v>1807</v>
      </c>
      <c r="C207" s="13" t="s">
        <v>1808</v>
      </c>
      <c r="D207" s="13" t="s">
        <v>1645</v>
      </c>
      <c r="E207" s="13" t="s">
        <v>1507</v>
      </c>
      <c r="F207" s="13" t="s">
        <v>1646</v>
      </c>
      <c r="G207" s="13" t="s">
        <v>1647</v>
      </c>
      <c r="H207" s="13" t="s">
        <v>622</v>
      </c>
      <c r="I207" s="13">
        <v>0</v>
      </c>
      <c r="J207" s="13">
        <v>0</v>
      </c>
      <c r="K207" s="13">
        <v>0</v>
      </c>
    </row>
    <row r="208" spans="1:11">
      <c r="A208" s="15" t="s">
        <v>1504</v>
      </c>
      <c r="B208" s="13" t="s">
        <v>1809</v>
      </c>
      <c r="C208" s="13" t="s">
        <v>1810</v>
      </c>
      <c r="D208" s="13" t="s">
        <v>1645</v>
      </c>
      <c r="E208" s="13" t="s">
        <v>1507</v>
      </c>
      <c r="F208" s="13" t="s">
        <v>1646</v>
      </c>
      <c r="G208" s="13" t="s">
        <v>1647</v>
      </c>
      <c r="H208" s="13" t="s">
        <v>622</v>
      </c>
      <c r="I208" s="13">
        <v>0</v>
      </c>
      <c r="J208" s="13">
        <v>0</v>
      </c>
      <c r="K208" s="13">
        <v>0</v>
      </c>
    </row>
    <row r="209" spans="1:11">
      <c r="A209" s="15" t="s">
        <v>1504</v>
      </c>
      <c r="B209" s="13" t="s">
        <v>1811</v>
      </c>
      <c r="C209" s="13" t="s">
        <v>1812</v>
      </c>
      <c r="D209" s="13" t="s">
        <v>1645</v>
      </c>
      <c r="E209" s="13" t="s">
        <v>1507</v>
      </c>
      <c r="F209" s="13" t="s">
        <v>1646</v>
      </c>
      <c r="G209" s="13" t="s">
        <v>1647</v>
      </c>
      <c r="H209" s="13" t="s">
        <v>622</v>
      </c>
      <c r="I209" s="13">
        <v>0</v>
      </c>
      <c r="J209" s="13">
        <v>0</v>
      </c>
      <c r="K209" s="13">
        <v>0</v>
      </c>
    </row>
    <row r="210" spans="1:11">
      <c r="A210" s="15" t="e">
        <f>VLOOKUP(E210,Table1[[#All],[Campo]],1,0)</f>
        <v>#N/A</v>
      </c>
      <c r="B210" s="13" t="s">
        <v>1813</v>
      </c>
      <c r="C210" s="13" t="s">
        <v>1814</v>
      </c>
      <c r="D210" s="13" t="s">
        <v>1645</v>
      </c>
      <c r="E210" s="13" t="s">
        <v>1513</v>
      </c>
      <c r="F210" s="13" t="s">
        <v>1646</v>
      </c>
      <c r="G210" s="13" t="s">
        <v>1647</v>
      </c>
      <c r="H210" s="13" t="s">
        <v>622</v>
      </c>
      <c r="I210" s="13">
        <v>0</v>
      </c>
      <c r="J210" s="13">
        <v>0</v>
      </c>
      <c r="K210" s="13">
        <v>0</v>
      </c>
    </row>
    <row r="211" spans="1:11">
      <c r="A211" s="15" t="e">
        <f>VLOOKUP(E211,Table1[[#All],[Campo]],1,0)</f>
        <v>#N/A</v>
      </c>
      <c r="B211" s="13" t="s">
        <v>1815</v>
      </c>
      <c r="C211" s="13" t="s">
        <v>1816</v>
      </c>
      <c r="D211" s="13" t="s">
        <v>1645</v>
      </c>
      <c r="E211" s="13" t="s">
        <v>1513</v>
      </c>
      <c r="F211" s="13" t="s">
        <v>1646</v>
      </c>
      <c r="G211" s="13" t="s">
        <v>1647</v>
      </c>
      <c r="H211" s="13" t="s">
        <v>622</v>
      </c>
      <c r="I211" s="13">
        <v>0</v>
      </c>
      <c r="J211" s="13">
        <v>0</v>
      </c>
      <c r="K211" s="13">
        <v>0</v>
      </c>
    </row>
    <row r="212" spans="1:11">
      <c r="A212" s="15" t="e">
        <f>VLOOKUP(E212,Table1[[#All],[Campo]],1,0)</f>
        <v>#N/A</v>
      </c>
      <c r="B212" s="13" t="s">
        <v>1817</v>
      </c>
      <c r="C212" s="13" t="s">
        <v>1818</v>
      </c>
      <c r="D212" s="13" t="s">
        <v>1645</v>
      </c>
      <c r="E212" s="13" t="s">
        <v>1516</v>
      </c>
      <c r="F212" s="13" t="s">
        <v>1646</v>
      </c>
      <c r="G212" s="13" t="s">
        <v>1647</v>
      </c>
      <c r="H212" s="13" t="s">
        <v>622</v>
      </c>
      <c r="I212" s="13">
        <v>0</v>
      </c>
      <c r="J212" s="13">
        <v>0</v>
      </c>
      <c r="K212" s="13">
        <v>0</v>
      </c>
    </row>
    <row r="213" spans="1:11">
      <c r="A213" s="15" t="str">
        <f>VLOOKUP(E213,Table1[[#All],[Campo]],1,0)</f>
        <v>cod_soc</v>
      </c>
      <c r="B213" s="13" t="s">
        <v>1819</v>
      </c>
      <c r="C213" s="13" t="s">
        <v>1820</v>
      </c>
      <c r="D213" s="13" t="s">
        <v>1391</v>
      </c>
      <c r="E213" s="13" t="s">
        <v>1315</v>
      </c>
      <c r="F213" s="13" t="s">
        <v>1821</v>
      </c>
      <c r="G213" s="13" t="s">
        <v>1822</v>
      </c>
      <c r="H213" s="13" t="s">
        <v>622</v>
      </c>
      <c r="I213" s="13">
        <v>1096295</v>
      </c>
      <c r="J213" s="13">
        <v>0</v>
      </c>
      <c r="K213" s="13">
        <v>0</v>
      </c>
    </row>
    <row r="214" spans="1:11">
      <c r="A214" s="15" t="str">
        <f>VLOOKUP(E214,Table1[[#All],[Campo]],1,0)</f>
        <v>dt_rfrnc</v>
      </c>
      <c r="B214" s="13" t="s">
        <v>1823</v>
      </c>
      <c r="C214" s="13" t="s">
        <v>1824</v>
      </c>
      <c r="D214" s="13" t="s">
        <v>1391</v>
      </c>
      <c r="E214" s="13" t="s">
        <v>1320</v>
      </c>
      <c r="F214" s="13" t="s">
        <v>1821</v>
      </c>
      <c r="G214" s="13" t="s">
        <v>1822</v>
      </c>
      <c r="H214" s="13" t="s">
        <v>622</v>
      </c>
      <c r="I214" s="13">
        <v>1096295</v>
      </c>
      <c r="J214" s="13">
        <v>0</v>
      </c>
      <c r="K214" s="13">
        <v>0</v>
      </c>
    </row>
    <row r="215" spans="1:11">
      <c r="A215" s="15" t="str">
        <f>VLOOKUP(E215,Table1[[#All],[Campo]],1,0)</f>
        <v>cod_soc</v>
      </c>
      <c r="B215" s="13" t="s">
        <v>1825</v>
      </c>
      <c r="C215" s="13" t="s">
        <v>1826</v>
      </c>
      <c r="D215" s="13" t="s">
        <v>1398</v>
      </c>
      <c r="E215" s="13" t="s">
        <v>1315</v>
      </c>
      <c r="F215" s="13" t="s">
        <v>1821</v>
      </c>
      <c r="G215" s="13" t="s">
        <v>1827</v>
      </c>
      <c r="H215" s="13" t="s">
        <v>622</v>
      </c>
      <c r="I215" s="13">
        <v>2490665</v>
      </c>
      <c r="J215" s="13">
        <v>0</v>
      </c>
      <c r="K215" s="13">
        <v>0</v>
      </c>
    </row>
    <row r="216" spans="1:11">
      <c r="A216" s="15" t="str">
        <f>VLOOKUP(E216,Table1[[#All],[Campo]],1,0)</f>
        <v>dt_rfrnc</v>
      </c>
      <c r="B216" s="13" t="s">
        <v>1828</v>
      </c>
      <c r="C216" s="13" t="s">
        <v>1829</v>
      </c>
      <c r="D216" s="13" t="s">
        <v>1398</v>
      </c>
      <c r="E216" s="13" t="s">
        <v>1320</v>
      </c>
      <c r="F216" s="13" t="s">
        <v>1821</v>
      </c>
      <c r="G216" s="13" t="s">
        <v>1827</v>
      </c>
      <c r="H216" s="13" t="s">
        <v>622</v>
      </c>
      <c r="I216" s="13">
        <v>2490665</v>
      </c>
      <c r="J216" s="13">
        <v>0</v>
      </c>
      <c r="K216" s="13">
        <v>0</v>
      </c>
    </row>
    <row r="217" spans="1:11">
      <c r="A217" s="15" t="str">
        <f>VLOOKUP(E217,Table1[[#All],[Campo]],1,0)</f>
        <v>cod_soc</v>
      </c>
      <c r="B217" s="13" t="s">
        <v>1830</v>
      </c>
      <c r="C217" s="13" t="s">
        <v>1831</v>
      </c>
      <c r="D217" s="13" t="s">
        <v>1337</v>
      </c>
      <c r="E217" s="13" t="s">
        <v>1315</v>
      </c>
      <c r="F217" s="13" t="s">
        <v>1821</v>
      </c>
      <c r="G217" s="13" t="s">
        <v>1832</v>
      </c>
      <c r="H217" s="13" t="s">
        <v>622</v>
      </c>
      <c r="I217" s="13">
        <v>2003033</v>
      </c>
      <c r="J217" s="13">
        <v>0</v>
      </c>
      <c r="K217" s="13">
        <v>0</v>
      </c>
    </row>
    <row r="218" spans="1:11">
      <c r="A218" s="15" t="str">
        <f>VLOOKUP(E218,Table1[[#All],[Campo]],1,0)</f>
        <v>dt_rfrnc</v>
      </c>
      <c r="B218" s="13" t="s">
        <v>1833</v>
      </c>
      <c r="C218" s="13" t="s">
        <v>1834</v>
      </c>
      <c r="D218" s="13" t="s">
        <v>1337</v>
      </c>
      <c r="E218" s="13" t="s">
        <v>1320</v>
      </c>
      <c r="F218" s="13" t="s">
        <v>1821</v>
      </c>
      <c r="G218" s="13" t="s">
        <v>1832</v>
      </c>
      <c r="H218" s="13" t="s">
        <v>622</v>
      </c>
      <c r="I218" s="13">
        <v>2003033</v>
      </c>
      <c r="J218" s="13">
        <v>0</v>
      </c>
      <c r="K218" s="13">
        <v>0</v>
      </c>
    </row>
    <row r="219" spans="1:11">
      <c r="A219" s="15" t="str">
        <f>VLOOKUP(E219,Table1[[#All],[Campo]],1,0)</f>
        <v>cod_soc</v>
      </c>
      <c r="B219" s="13" t="s">
        <v>1835</v>
      </c>
      <c r="C219" s="13" t="s">
        <v>1836</v>
      </c>
      <c r="D219" s="13" t="s">
        <v>1388</v>
      </c>
      <c r="E219" s="13" t="s">
        <v>1315</v>
      </c>
      <c r="F219" s="13" t="s">
        <v>1821</v>
      </c>
      <c r="G219" s="13" t="s">
        <v>1837</v>
      </c>
      <c r="H219" s="13" t="s">
        <v>622</v>
      </c>
      <c r="I219" s="13">
        <v>731165</v>
      </c>
      <c r="J219" s="13">
        <v>0</v>
      </c>
      <c r="K219" s="13">
        <v>0</v>
      </c>
    </row>
    <row r="220" spans="1:11">
      <c r="A220" s="15" t="str">
        <f>VLOOKUP(E220,Table1[[#All],[Campo]],1,0)</f>
        <v>dt_rfrnc</v>
      </c>
      <c r="B220" s="13" t="s">
        <v>1838</v>
      </c>
      <c r="C220" s="13" t="s">
        <v>1839</v>
      </c>
      <c r="D220" s="13" t="s">
        <v>1388</v>
      </c>
      <c r="E220" s="13" t="s">
        <v>1320</v>
      </c>
      <c r="F220" s="13" t="s">
        <v>1821</v>
      </c>
      <c r="G220" s="13" t="s">
        <v>1837</v>
      </c>
      <c r="H220" s="13" t="s">
        <v>622</v>
      </c>
      <c r="I220" s="13">
        <v>731165</v>
      </c>
      <c r="J220" s="13">
        <v>0</v>
      </c>
      <c r="K220" s="13">
        <v>0</v>
      </c>
    </row>
    <row r="221" spans="1:11">
      <c r="A221" s="15" t="str">
        <f>VLOOKUP(E221,Table1[[#All],[Campo]],1,0)</f>
        <v>cod_soc</v>
      </c>
      <c r="B221" s="13" t="s">
        <v>1840</v>
      </c>
      <c r="C221" s="13" t="s">
        <v>1841</v>
      </c>
      <c r="D221" s="13" t="s">
        <v>1553</v>
      </c>
      <c r="E221" s="13" t="s">
        <v>1315</v>
      </c>
      <c r="F221" s="13" t="s">
        <v>1821</v>
      </c>
      <c r="G221" s="13" t="s">
        <v>1842</v>
      </c>
      <c r="H221" s="13" t="s">
        <v>622</v>
      </c>
      <c r="I221" s="13">
        <v>456960</v>
      </c>
      <c r="J221" s="13">
        <v>0</v>
      </c>
      <c r="K221" s="13">
        <v>0</v>
      </c>
    </row>
    <row r="222" spans="1:11">
      <c r="A222" s="15" t="str">
        <f>VLOOKUP(E222,Table1[[#All],[Campo]],1,0)</f>
        <v>dt_rfrnc</v>
      </c>
      <c r="B222" s="13" t="s">
        <v>1843</v>
      </c>
      <c r="C222" s="13" t="s">
        <v>1844</v>
      </c>
      <c r="D222" s="13" t="s">
        <v>1553</v>
      </c>
      <c r="E222" s="13" t="s">
        <v>1320</v>
      </c>
      <c r="F222" s="13" t="s">
        <v>1821</v>
      </c>
      <c r="G222" s="13" t="s">
        <v>1842</v>
      </c>
      <c r="H222" s="13" t="s">
        <v>622</v>
      </c>
      <c r="I222" s="13">
        <v>456960</v>
      </c>
      <c r="J222" s="13">
        <v>0</v>
      </c>
      <c r="K222" s="13">
        <v>0</v>
      </c>
    </row>
  </sheetData>
  <autoFilter ref="A1:K222"/>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topLeftCell="B1"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1845</v>
      </c>
    </row>
    <row r="3" spans="2:10" ht="17.399999999999999">
      <c r="B3" s="16" t="s">
        <v>1846</v>
      </c>
      <c r="D3" t="s">
        <v>1173</v>
      </c>
    </row>
    <row r="4" spans="2:10" ht="17.399999999999999">
      <c r="B4" s="52" t="s">
        <v>1847</v>
      </c>
      <c r="C4" s="52" t="s">
        <v>1848</v>
      </c>
      <c r="D4" s="51" t="s">
        <v>1194</v>
      </c>
      <c r="E4" s="51" t="s">
        <v>1195</v>
      </c>
      <c r="F4" s="51" t="s">
        <v>1186</v>
      </c>
      <c r="H4" s="30" t="s">
        <v>1194</v>
      </c>
      <c r="I4" s="30" t="s">
        <v>1195</v>
      </c>
      <c r="J4" s="30" t="s">
        <v>1186</v>
      </c>
    </row>
    <row r="5" spans="2:10" ht="34.799999999999997">
      <c r="B5" s="2" t="s">
        <v>1184</v>
      </c>
      <c r="C5" s="4" t="s">
        <v>1849</v>
      </c>
      <c r="D5">
        <v>8</v>
      </c>
      <c r="E5">
        <v>8</v>
      </c>
      <c r="F5">
        <v>8</v>
      </c>
      <c r="H5" s="30">
        <v>1</v>
      </c>
      <c r="I5" s="30">
        <v>3</v>
      </c>
      <c r="J5" s="30">
        <v>8</v>
      </c>
    </row>
    <row r="6" spans="2:10" ht="34.799999999999997">
      <c r="B6" s="2" t="s">
        <v>1187</v>
      </c>
      <c r="C6" s="4" t="s">
        <v>1850</v>
      </c>
      <c r="D6">
        <v>2</v>
      </c>
      <c r="E6">
        <v>4</v>
      </c>
      <c r="F6">
        <v>8</v>
      </c>
      <c r="H6" s="30">
        <v>1</v>
      </c>
      <c r="I6" s="30">
        <v>3</v>
      </c>
      <c r="J6" s="30">
        <v>4</v>
      </c>
    </row>
    <row r="7" spans="2:10" ht="17.399999999999999">
      <c r="B7" s="2" t="s">
        <v>1188</v>
      </c>
      <c r="C7" s="4" t="s">
        <v>1851</v>
      </c>
      <c r="D7">
        <v>2</v>
      </c>
      <c r="E7">
        <v>4</v>
      </c>
      <c r="F7">
        <v>8</v>
      </c>
      <c r="H7" s="30">
        <v>1</v>
      </c>
      <c r="I7" s="30">
        <v>1</v>
      </c>
      <c r="J7" s="30">
        <v>2</v>
      </c>
    </row>
    <row r="8" spans="2:10" ht="17.399999999999999">
      <c r="B8" s="27" t="s">
        <v>1189</v>
      </c>
      <c r="C8" s="4" t="s">
        <v>1852</v>
      </c>
      <c r="D8">
        <v>2</v>
      </c>
      <c r="E8">
        <v>4</v>
      </c>
      <c r="F8">
        <v>8</v>
      </c>
      <c r="H8" s="30">
        <v>2</v>
      </c>
      <c r="I8" s="30">
        <v>4</v>
      </c>
      <c r="J8" s="30">
        <v>4</v>
      </c>
    </row>
    <row r="9" spans="2:10" ht="17.399999999999999">
      <c r="B9" s="28" t="s">
        <v>1192</v>
      </c>
      <c r="C9" s="4" t="s">
        <v>1853</v>
      </c>
      <c r="D9">
        <v>1</v>
      </c>
      <c r="E9">
        <v>1</v>
      </c>
      <c r="F9">
        <v>1</v>
      </c>
      <c r="H9" s="30"/>
      <c r="I9" s="30"/>
      <c r="J9" s="30"/>
    </row>
    <row r="10" spans="2:10" ht="52.2">
      <c r="B10" s="2" t="s">
        <v>1190</v>
      </c>
      <c r="C10" s="4" t="s">
        <v>1854</v>
      </c>
      <c r="D10">
        <v>0.1</v>
      </c>
      <c r="E10">
        <v>0.1</v>
      </c>
      <c r="F10">
        <v>0.1</v>
      </c>
      <c r="H10" s="30">
        <v>0.1</v>
      </c>
      <c r="I10" s="30">
        <v>0.5</v>
      </c>
      <c r="J10" s="30">
        <v>0.5</v>
      </c>
    </row>
    <row r="11" spans="2:10" ht="17.399999999999999">
      <c r="B11" s="28" t="s">
        <v>1191</v>
      </c>
      <c r="C11" s="4" t="s">
        <v>1855</v>
      </c>
      <c r="D11">
        <v>1</v>
      </c>
      <c r="E11">
        <v>2</v>
      </c>
      <c r="F11">
        <v>2</v>
      </c>
      <c r="H11" s="30"/>
      <c r="I11" s="30"/>
      <c r="J11" s="30"/>
    </row>
    <row r="12" spans="2:10" ht="17.399999999999999">
      <c r="B12" s="28" t="s">
        <v>1231</v>
      </c>
      <c r="C12" s="4" t="s">
        <v>1856</v>
      </c>
      <c r="D12">
        <v>0.5</v>
      </c>
      <c r="E12">
        <v>0.5</v>
      </c>
      <c r="F12">
        <v>0.5</v>
      </c>
      <c r="H12" s="30">
        <v>0.5</v>
      </c>
      <c r="I12" s="30">
        <v>0.5</v>
      </c>
      <c r="J12" s="30">
        <v>0.5</v>
      </c>
    </row>
    <row r="13" spans="2:10" ht="34.799999999999997">
      <c r="B13" s="33" t="s">
        <v>1198</v>
      </c>
      <c r="C13" s="4" t="s">
        <v>1857</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1858</v>
      </c>
      <c r="B17" s="17" t="s">
        <v>613</v>
      </c>
      <c r="C17">
        <v>4</v>
      </c>
      <c r="D17" s="95">
        <v>0.25</v>
      </c>
      <c r="E17" s="95">
        <v>0</v>
      </c>
    </row>
    <row r="18" spans="1:5" ht="17.399999999999999">
      <c r="B18" s="23" t="s">
        <v>28</v>
      </c>
      <c r="C18">
        <v>8</v>
      </c>
      <c r="D18" s="95">
        <v>0</v>
      </c>
      <c r="E18" s="95">
        <v>0</v>
      </c>
    </row>
    <row r="19" spans="1:5" ht="17.399999999999999">
      <c r="B19" s="1" t="s">
        <v>1862</v>
      </c>
      <c r="C19">
        <f>_xlfn.NUMBERVALUE(LEFT(B19,1))</f>
        <v>2</v>
      </c>
      <c r="D19" s="95">
        <v>0.5</v>
      </c>
      <c r="E19" s="95">
        <v>0.25</v>
      </c>
    </row>
    <row r="20" spans="1:5" ht="17.399999999999999">
      <c r="B20" s="1" t="s">
        <v>1863</v>
      </c>
      <c r="C20">
        <v>3</v>
      </c>
      <c r="D20" s="95">
        <v>0.5</v>
      </c>
      <c r="E20" s="95">
        <v>0</v>
      </c>
    </row>
    <row r="21" spans="1:5" ht="17.399999999999999">
      <c r="A21" t="s">
        <v>1859</v>
      </c>
      <c r="B21" s="24" t="s">
        <v>614</v>
      </c>
      <c r="C21">
        <v>5</v>
      </c>
      <c r="D21" s="95">
        <v>0.25</v>
      </c>
      <c r="E21" s="95">
        <v>0.25</v>
      </c>
    </row>
    <row r="22" spans="1:5" ht="17.399999999999999">
      <c r="A22" t="s">
        <v>1860</v>
      </c>
      <c r="B22" s="18" t="s">
        <v>615</v>
      </c>
      <c r="C22">
        <v>6</v>
      </c>
      <c r="D22" s="95">
        <v>0.25</v>
      </c>
      <c r="E22" s="95">
        <v>0</v>
      </c>
    </row>
    <row r="23" spans="1:5" ht="17.399999999999999">
      <c r="A23" t="s">
        <v>1860</v>
      </c>
      <c r="B23" s="18" t="s">
        <v>617</v>
      </c>
      <c r="C23">
        <v>7</v>
      </c>
      <c r="D23" s="95">
        <v>0.25</v>
      </c>
      <c r="E23" s="95">
        <v>0</v>
      </c>
    </row>
    <row r="24" spans="1:5" ht="17.399999999999999">
      <c r="A24" t="s">
        <v>1861</v>
      </c>
      <c r="B24" s="1" t="s">
        <v>611</v>
      </c>
      <c r="C24">
        <f>_xlfn.NUMBERVALUE(LEFT(B24,1))</f>
        <v>0</v>
      </c>
      <c r="D24" s="95">
        <v>0</v>
      </c>
      <c r="E24" s="95">
        <v>0</v>
      </c>
    </row>
  </sheetData>
  <conditionalFormatting sqref="B16:B24">
    <cfRule type="cellIs" dxfId="15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3.8" outlineLevelRow="1" outlineLevelCol="1"/>
  <cols>
    <col min="1" max="1" width="2.69921875" customWidth="1"/>
    <col min="2" max="2" width="9.59765625" customWidth="1"/>
    <col min="3" max="3" width="19.69921875" customWidth="1"/>
    <col min="4" max="4" width="14.8984375" hidden="1" customWidth="1"/>
    <col min="5" max="5" width="39.59765625" customWidth="1"/>
    <col min="6" max="6" width="23.19921875" bestFit="1" customWidth="1"/>
    <col min="7" max="7" width="11.3984375" customWidth="1"/>
    <col min="8" max="8" width="30.69921875" customWidth="1"/>
    <col min="9" max="9" width="27.6992187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69921875" style="258" customWidth="1"/>
    <col min="19" max="19" width="6.3984375" hidden="1" customWidth="1"/>
    <col min="20" max="22" width="8.69921875" hidden="1" customWidth="1"/>
    <col min="23" max="38" width="5.69921875" customWidth="1"/>
    <col min="39" max="39" width="9.765625E-2" customWidth="1"/>
    <col min="40" max="40" width="5.69921875" customWidth="1"/>
    <col min="41" max="44" width="5.69921875" hidden="1" customWidth="1" outlineLevel="1"/>
    <col min="45" max="45" width="5.69921875" customWidth="1" collapsed="1"/>
    <col min="46" max="49" width="5.69921875" hidden="1" customWidth="1" outlineLevel="1"/>
    <col min="50" max="50" width="5.69921875" customWidth="1" collapsed="1"/>
    <col min="51" max="54" width="5.69921875" hidden="1" customWidth="1" outlineLevel="1"/>
    <col min="55" max="55" width="5.69921875" customWidth="1" collapsed="1"/>
    <col min="56" max="59" width="5.69921875" hidden="1" customWidth="1" outlineLevel="1"/>
    <col min="60" max="60" width="5.69921875" customWidth="1" collapsed="1"/>
    <col min="61" max="64" width="5.69921875" hidden="1" customWidth="1" outlineLevel="1"/>
    <col min="65" max="65" width="5.69921875" customWidth="1" collapsed="1"/>
    <col min="66" max="66" width="5.69921875" customWidth="1"/>
    <col min="67" max="69" width="5.69921875" hidden="1" customWidth="1" outlineLevel="1"/>
    <col min="70" max="70" width="5.69921875" customWidth="1" collapsed="1"/>
    <col min="71" max="74" width="5.69921875" hidden="1" customWidth="1" outlineLevel="1"/>
    <col min="75" max="75" width="5.69921875" customWidth="1" collapsed="1"/>
    <col min="76" max="79" width="5.69921875" hidden="1" customWidth="1" outlineLevel="1"/>
    <col min="80" max="80" width="5.69921875" customWidth="1" collapsed="1"/>
    <col min="81" max="84" width="5.69921875" hidden="1" customWidth="1" outlineLevel="1"/>
    <col min="85" max="85" width="5.69921875" customWidth="1" collapsed="1"/>
    <col min="86" max="86" width="5.69921875" hidden="1" customWidth="1" outlineLevel="1"/>
    <col min="87" max="87" width="5.69921875" customWidth="1" collapsed="1"/>
    <col min="88" max="88" width="8.69921875" customWidth="1"/>
    <col min="89" max="93" width="0" hidden="1" customWidth="1"/>
    <col min="94" max="16384" width="8.69921875" hidden="1"/>
  </cols>
  <sheetData>
    <row r="1" spans="1:87" ht="16.2"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1940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1877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1878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1953</v>
      </c>
      <c r="J15" s="261" t="s">
        <v>1953</v>
      </c>
      <c r="K15" s="261" t="s">
        <v>1953</v>
      </c>
      <c r="L15" s="261" t="s">
        <v>1953</v>
      </c>
      <c r="M15" s="261" t="s">
        <v>1953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1910</v>
      </c>
      <c r="G16" s="209" t="s">
        <v>12</v>
      </c>
      <c r="H16" s="209" t="s">
        <v>639</v>
      </c>
      <c r="I16" s="314" t="s">
        <v>1879</v>
      </c>
      <c r="J16" s="314" t="s">
        <v>1955</v>
      </c>
      <c r="K16" s="210" t="s">
        <v>1956</v>
      </c>
      <c r="L16" s="314" t="s">
        <v>1938</v>
      </c>
      <c r="M16" s="314" t="s">
        <v>1939</v>
      </c>
      <c r="N16" s="314" t="s">
        <v>1954</v>
      </c>
      <c r="O16" s="209" t="s">
        <v>1936</v>
      </c>
      <c r="P16" s="209" t="s">
        <v>1937</v>
      </c>
      <c r="Q16" s="209" t="s">
        <v>1941</v>
      </c>
      <c r="R16" s="315" t="s">
        <v>22</v>
      </c>
      <c r="S16" s="212" t="s">
        <v>1177</v>
      </c>
      <c r="T16" s="212" t="s">
        <v>1880</v>
      </c>
      <c r="U16" s="212" t="s">
        <v>1881</v>
      </c>
      <c r="V16" s="211" t="s">
        <v>1882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1911</v>
      </c>
      <c r="G17" s="235">
        <f>COUNTA(G18)</f>
        <v>1</v>
      </c>
      <c r="H17" s="290" t="s">
        <v>1943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1935</v>
      </c>
      <c r="G19" s="235">
        <f>COUNTA(G20:G27)</f>
        <v>8</v>
      </c>
      <c r="H19" s="290" t="s">
        <v>1943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1884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1884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1884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1884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1884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1884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1884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1884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1911</v>
      </c>
      <c r="G28" s="235">
        <f>COUNTA(G29:G43)</f>
        <v>15</v>
      </c>
      <c r="H28" s="290" t="s">
        <v>1943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1989</v>
      </c>
      <c r="G44" s="235">
        <f>COUNTA(G45:G45)</f>
        <v>1</v>
      </c>
      <c r="H44" s="289" t="s">
        <v>1986</v>
      </c>
      <c r="I44" s="271" t="s">
        <v>38</v>
      </c>
      <c r="J44" s="272">
        <f>MIN(J45)</f>
        <v>45603</v>
      </c>
      <c r="K44" s="272">
        <f>MIN(K45)</f>
        <v>45604</v>
      </c>
      <c r="L44" s="272">
        <f>MIN(L45:L224)</f>
        <v>45600</v>
      </c>
      <c r="M44" s="272">
        <f>MIN(M45:M224)</f>
        <v>45600</v>
      </c>
      <c r="N44" s="318" t="s">
        <v>1890</v>
      </c>
      <c r="O44" s="309" t="e">
        <f>SUMPRODUCT(O45,U45)/SUM(U45)</f>
        <v>#N/A</v>
      </c>
      <c r="P44" s="309">
        <f ca="1">SUMPRODUCT(P45,U45)/SUM(U45)</f>
        <v>1</v>
      </c>
      <c r="Q44" s="242" t="e">
        <f t="shared" ref="Q44:Q49" ca="1" si="15">O44-P44</f>
        <v>#N/A</v>
      </c>
      <c r="R44" s="257" t="s">
        <v>2017</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1911</v>
      </c>
      <c r="G46" s="235">
        <f>COUNTA(G47:G49)</f>
        <v>3</v>
      </c>
      <c r="H46" s="290" t="s">
        <v>1943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1884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1884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1884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1888</v>
      </c>
      <c r="F50" s="234" t="s">
        <v>1935</v>
      </c>
      <c r="G50" s="235">
        <f>COUNTA(G51:G60)</f>
        <v>10</v>
      </c>
      <c r="H50" s="290" t="s">
        <v>1943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1952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1888</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1888</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1888</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1888</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1888</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1888</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1888</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1888</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1888</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1888</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1911</v>
      </c>
      <c r="G61" s="235">
        <f>COUNTA(G62:G76)</f>
        <v>15</v>
      </c>
      <c r="H61" s="290" t="s">
        <v>1943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1952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1240</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1932</v>
      </c>
      <c r="G77" s="235">
        <f>COUNTA(G78:G79)</f>
        <v>2</v>
      </c>
      <c r="H77" s="290" t="s">
        <v>1943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1952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49.95" customHeight="1" collapsed="1">
      <c r="A80" s="269"/>
      <c r="B80" s="141" t="s">
        <v>26</v>
      </c>
      <c r="C80" s="137" t="s">
        <v>26</v>
      </c>
      <c r="D80" s="133"/>
      <c r="E80" s="236" t="s">
        <v>368</v>
      </c>
      <c r="F80" s="234" t="s">
        <v>1911</v>
      </c>
      <c r="G80" s="235">
        <f>COUNTA(G81:G82)</f>
        <v>2</v>
      </c>
      <c r="H80" s="290" t="s">
        <v>1943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1976</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1951</v>
      </c>
      <c r="G83" s="235">
        <f>COUNTA(G84:G85)</f>
        <v>2</v>
      </c>
      <c r="H83" s="290" t="s">
        <v>1943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1993</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1885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1885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1951</v>
      </c>
      <c r="G86" s="235">
        <f>COUNTA(G87)</f>
        <v>1</v>
      </c>
      <c r="H86" s="290" t="s">
        <v>1943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1982</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1885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1932</v>
      </c>
      <c r="G88" s="235">
        <f>COUNTA(G89:G91)</f>
        <v>3</v>
      </c>
      <c r="H88" s="290" t="s">
        <v>1943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1976</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1977</v>
      </c>
      <c r="G92" s="235">
        <f>COUNTA(G93)</f>
        <v>1</v>
      </c>
      <c r="H92" s="290" t="s">
        <v>1943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1984</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1978</v>
      </c>
      <c r="G94" s="235">
        <f>COUNTA(G95)</f>
        <v>1</v>
      </c>
      <c r="H94" s="290" t="s">
        <v>1943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1984</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1979</v>
      </c>
      <c r="G96" s="235">
        <f>COUNTA(G97)</f>
        <v>1</v>
      </c>
      <c r="H96" s="290" t="s">
        <v>1943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1982</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1932</v>
      </c>
      <c r="G98" s="235">
        <f>COUNTA(G99:G101)</f>
        <v>3</v>
      </c>
      <c r="H98" s="290" t="s">
        <v>1943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1976</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1932</v>
      </c>
      <c r="G102" s="235">
        <f>COUNTA(G103)</f>
        <v>1</v>
      </c>
      <c r="H102" s="290" t="s">
        <v>1943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1982</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1977</v>
      </c>
      <c r="G104" s="235">
        <f>COUNTA(G105)</f>
        <v>1</v>
      </c>
      <c r="H104" s="290" t="s">
        <v>1943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2014</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1911</v>
      </c>
      <c r="G106" s="235">
        <f>COUNTA(G107:G120)</f>
        <v>14</v>
      </c>
      <c r="H106" s="290" t="s">
        <v>1943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1981</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1934</v>
      </c>
      <c r="G121" s="235">
        <f>COUNTA(G122)</f>
        <v>1</v>
      </c>
      <c r="H121" s="290" t="s">
        <v>1943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1984</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1951</v>
      </c>
      <c r="G123" s="235">
        <f>COUNTA(G124:G127)</f>
        <v>4</v>
      </c>
      <c r="H123" s="290" t="s">
        <v>1943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1976</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1884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1884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1884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1884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1980</v>
      </c>
      <c r="G128" s="235">
        <f>COUNTA(G129:G129)</f>
        <v>1</v>
      </c>
      <c r="H128" s="290" t="s">
        <v>1943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1981</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t="shared" ref="P129:P136" ca="1" si="32">IF(TODAY()&lt;=L129,0,MIN((TODAY()-L129)/(M129-L129+1),100%))</f>
        <v>1</v>
      </c>
      <c r="Q129" s="242">
        <f t="shared" ca="1" si="31"/>
        <v>0</v>
      </c>
      <c r="R129" s="256"/>
      <c r="S129" s="275"/>
      <c r="T129" s="265">
        <v>4.0999999999999996</v>
      </c>
      <c r="U129" s="265">
        <f>ROUND(T129/8,1)</f>
        <v>0.5</v>
      </c>
      <c r="V129" s="265">
        <f t="shared" ref="V129:V135" si="33">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1980</v>
      </c>
      <c r="G130" s="402">
        <f>COUNTA(G131)</f>
        <v>1</v>
      </c>
      <c r="H130" s="290" t="s">
        <v>1943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t="shared" ref="Q130:Q131" ca="1" si="34">O130-P130</f>
        <v>-1</v>
      </c>
      <c r="R130" s="366" t="s">
        <v>1997</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FY24'!$A$7:$G$716,7,0)</f>
        <v>2.2 Em Re-especificação</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t="shared" ref="P131" ca="1" si="35">IF(TODAY()&lt;=L131,0,MIN((TODAY()-L131)/(M131-L131+1),100%))</f>
        <v>1</v>
      </c>
      <c r="Q131" s="242">
        <f t="shared" ca="1" si="34"/>
        <v>-1</v>
      </c>
      <c r="R131" s="256"/>
      <c r="S131" s="275"/>
      <c r="T131" s="265">
        <v>4.0999999999999996</v>
      </c>
      <c r="U131" s="265">
        <f>ROUND(T131/8,1)</f>
        <v>0.5</v>
      </c>
      <c r="V131" s="265">
        <f t="shared" ref="V131" si="36">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1980</v>
      </c>
      <c r="G132" s="402">
        <f>COUNTA(G133:G135)</f>
        <v>3</v>
      </c>
      <c r="H132" s="290" t="s">
        <v>1943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1996</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1988</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ca="1">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ca="1">IF(TODAY()&lt;=L134,0,MIN((TODAY()-L134)/(M134-L134+1),100%))</f>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 t="shared" si="33"/>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1957</v>
      </c>
      <c r="G136" s="235">
        <f>COUNTA(G137:G138)</f>
        <v>2</v>
      </c>
      <c r="H136" s="290" t="s">
        <v>1943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1981</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ca="1">IF(TODAY()&lt;=L137,0,MIN((TODAY()-L137)/(M137-L137+1),100%))</f>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ca="1">IF(TODAY()&lt;=L138,0,MIN((TODAY()-L138)/(M138-L138+1),100%))</f>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1911</v>
      </c>
      <c r="G139" s="402">
        <f>COUNTA(G140)</f>
        <v>1</v>
      </c>
      <c r="H139" s="401" t="s">
        <v>572</v>
      </c>
      <c r="I139" s="271" t="s">
        <v>38</v>
      </c>
      <c r="J139" s="272">
        <f>MIN(J140:J143)</f>
        <v>45614</v>
      </c>
      <c r="K139" s="272">
        <f>MIN(K140:K158)</f>
        <v>45596</v>
      </c>
      <c r="L139" s="272">
        <f>MIN(L140:L158)</f>
        <v>45625</v>
      </c>
      <c r="M139" s="273">
        <f>MAX(M140:M158)</f>
        <v>45667</v>
      </c>
      <c r="N139" s="318" t="s">
        <v>1890</v>
      </c>
      <c r="O139" s="309">
        <f>O140</f>
        <v>0</v>
      </c>
      <c r="P139" s="309">
        <f ca="1">P140</f>
        <v>1</v>
      </c>
      <c r="Q139" s="251">
        <f t="shared" ref="Q139:Q166" ca="1" si="37">O139-P139</f>
        <v>-1</v>
      </c>
      <c r="R139" s="366" t="s">
        <v>1998</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 t="shared" ref="A140:A143" si="38">E140&amp;G140</f>
        <v>modesg_out_empr_info_nfincod_nace_esg</v>
      </c>
      <c r="B140" s="141" t="s">
        <v>26</v>
      </c>
      <c r="C140" s="137" t="s">
        <v>310</v>
      </c>
      <c r="D140" s="230" t="s">
        <v>40</v>
      </c>
      <c r="E140" s="231" t="s">
        <v>325</v>
      </c>
      <c r="F140" s="231"/>
      <c r="G140" s="232" t="s">
        <v>281</v>
      </c>
      <c r="H140" s="230" t="str">
        <f>VLOOKUP(A140,'2. Status Detalhe Campos FY24'!$A$7:$G$716,7,0)</f>
        <v>2.2 Em Re-especificação</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t="shared" ref="P140:P143" ca="1" si="39">IF(TODAY()&lt;=L140,0,MIN((TODAY()-L140)/(M140-L140+1),100%))</f>
        <v>1</v>
      </c>
      <c r="Q140" s="242">
        <f t="shared" ca="1" si="37"/>
        <v>-1</v>
      </c>
      <c r="R140" s="257" t="s">
        <v>38</v>
      </c>
      <c r="S140" s="275"/>
      <c r="T140" s="265">
        <v>16.100000000000001</v>
      </c>
      <c r="U140" s="265">
        <f t="shared" ref="U140:U143" si="40">ROUND(T140/8,1)</f>
        <v>2</v>
      </c>
      <c r="V140" s="265">
        <f t="shared" ref="V140:V143" si="41">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1935</v>
      </c>
      <c r="G141" s="235">
        <f>COUNTA(G142:G143)</f>
        <v>2</v>
      </c>
      <c r="H141" s="290" t="s">
        <v>1943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1993</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 t="shared" si="38"/>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t="shared" ca="1" si="39"/>
        <v>1</v>
      </c>
      <c r="Q142" s="242">
        <f t="shared" ca="1" si="37"/>
        <v>0</v>
      </c>
      <c r="R142" s="257" t="s">
        <v>38</v>
      </c>
      <c r="S142" s="275"/>
      <c r="T142" s="265">
        <v>4.0999999999999996</v>
      </c>
      <c r="U142" s="265">
        <f t="shared" si="40"/>
        <v>0.5</v>
      </c>
      <c r="V142" s="265">
        <f t="shared" si="41"/>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 t="shared" si="38"/>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t="shared" ca="1" si="39"/>
        <v>1</v>
      </c>
      <c r="Q143" s="242">
        <f t="shared" ca="1" si="37"/>
        <v>0</v>
      </c>
      <c r="R143" s="257" t="s">
        <v>38</v>
      </c>
      <c r="S143" s="275"/>
      <c r="T143" s="265">
        <v>4.0999999999999996</v>
      </c>
      <c r="U143" s="265">
        <f t="shared" si="40"/>
        <v>0.5</v>
      </c>
      <c r="V143" s="265">
        <f t="shared" si="41"/>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1978</v>
      </c>
      <c r="G144" s="235">
        <f>COUNTA(G145:G147)</f>
        <v>3</v>
      </c>
      <c r="H144" s="290" t="s">
        <v>1943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2016</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 t="shared" ref="A145:A147" si="42">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t="shared" ref="P145:P147" ca="1" si="43">IF(TODAY()&lt;=L145,0,MIN((TODAY()-L145)/(M145-L145+1),100%))</f>
        <v>1</v>
      </c>
      <c r="Q145" s="242">
        <f t="shared" ref="Q145:Q147" ca="1" si="44">O145-P145</f>
        <v>0</v>
      </c>
      <c r="R145" s="257" t="s">
        <v>38</v>
      </c>
      <c r="S145" s="275"/>
      <c r="T145" s="265">
        <v>8.1</v>
      </c>
      <c r="U145" s="265">
        <f t="shared" ref="U145:U147" si="45">ROUND(T145/8,1)</f>
        <v>1</v>
      </c>
      <c r="V145" s="265">
        <f t="shared" ref="V145:V147" si="46">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 t="shared" si="42"/>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t="shared" ca="1" si="43"/>
        <v>1</v>
      </c>
      <c r="Q146" s="242">
        <f t="shared" ca="1" si="44"/>
        <v>0</v>
      </c>
      <c r="R146" s="257" t="s">
        <v>38</v>
      </c>
      <c r="S146" s="275"/>
      <c r="T146" s="265">
        <v>8.1</v>
      </c>
      <c r="U146" s="265">
        <f t="shared" si="45"/>
        <v>1</v>
      </c>
      <c r="V146" s="265">
        <f t="shared" si="46"/>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 t="shared" si="42"/>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t="shared" ca="1" si="43"/>
        <v>1</v>
      </c>
      <c r="Q147" s="242">
        <f t="shared" ca="1" si="44"/>
        <v>0</v>
      </c>
      <c r="R147" s="257" t="s">
        <v>38</v>
      </c>
      <c r="S147" s="275"/>
      <c r="T147" s="265">
        <v>4.0999999999999996</v>
      </c>
      <c r="U147" s="265">
        <f t="shared" si="45"/>
        <v>0.5</v>
      </c>
      <c r="V147" s="265">
        <f t="shared" si="46"/>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1933</v>
      </c>
      <c r="G148" s="402">
        <f>COUNTA(G149:G151)</f>
        <v>3</v>
      </c>
      <c r="H148" s="290" t="s">
        <v>1943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7"/>
        <v>0</v>
      </c>
      <c r="R148" s="366" t="s">
        <v>1999</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1988</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7"/>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7"/>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7"/>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1932</v>
      </c>
      <c r="G152" s="235">
        <f>COUNTA(G153:G158)</f>
        <v>6</v>
      </c>
      <c r="H152" s="270" t="s">
        <v>1946</v>
      </c>
      <c r="I152" s="271" t="s">
        <v>38</v>
      </c>
      <c r="J152" s="272">
        <f>MIN(J153:J158)</f>
        <v>45621</v>
      </c>
      <c r="K152" s="324">
        <f>MIN(K153:K158)</f>
        <v>45622</v>
      </c>
      <c r="L152" s="272">
        <f>MIN(L153:L158)</f>
        <v>45636</v>
      </c>
      <c r="M152" s="273">
        <f>MAX(M153:M158)</f>
        <v>45645</v>
      </c>
      <c r="N152" s="318" t="s">
        <v>1890</v>
      </c>
      <c r="O152" s="309">
        <f>SUMPRODUCT(O153:O158,U153:U158)/SUM(U153:U158)</f>
        <v>0</v>
      </c>
      <c r="P152" s="309">
        <f ca="1">SUMPRODUCT(P153:P158,U153:U158)/SUM(U153:U158)</f>
        <v>1</v>
      </c>
      <c r="Q152" s="242">
        <f t="shared" ca="1" si="37"/>
        <v>-1</v>
      </c>
      <c r="R152" s="366" t="s">
        <v>1996</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47">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48">IF(TODAY()&lt;=L153,0,MIN((TODAY()-L153)/(M153-L153+1),100%))</f>
        <v>1</v>
      </c>
      <c r="Q153" s="242">
        <f t="shared" ca="1" si="37"/>
        <v>-1</v>
      </c>
      <c r="R153" s="257" t="s">
        <v>38</v>
      </c>
      <c r="S153" s="275"/>
      <c r="T153" s="265">
        <v>4.0999999999999996</v>
      </c>
      <c r="U153" s="265">
        <f t="shared" ref="U153:U158" si="49">ROUND(T153/8,1)</f>
        <v>0.5</v>
      </c>
      <c r="V153" s="265">
        <f t="shared" ref="V153:V158" si="50">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47"/>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48"/>
        <v>1</v>
      </c>
      <c r="Q154" s="242">
        <f t="shared" ca="1" si="37"/>
        <v>-1</v>
      </c>
      <c r="R154" s="257" t="s">
        <v>38</v>
      </c>
      <c r="S154" s="275"/>
      <c r="T154" s="265">
        <v>4.0999999999999996</v>
      </c>
      <c r="U154" s="265">
        <f t="shared" si="49"/>
        <v>0.5</v>
      </c>
      <c r="V154" s="265">
        <f t="shared" si="50"/>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47"/>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48"/>
        <v>1</v>
      </c>
      <c r="Q155" s="242">
        <f t="shared" ca="1" si="37"/>
        <v>-1</v>
      </c>
      <c r="R155" s="257" t="s">
        <v>38</v>
      </c>
      <c r="S155" s="275"/>
      <c r="T155" s="265">
        <v>4.0999999999999996</v>
      </c>
      <c r="U155" s="265">
        <f t="shared" si="49"/>
        <v>0.5</v>
      </c>
      <c r="V155" s="265">
        <f t="shared" si="50"/>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47"/>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48"/>
        <v>1</v>
      </c>
      <c r="Q156" s="242">
        <f t="shared" ca="1" si="37"/>
        <v>-1</v>
      </c>
      <c r="R156" s="257" t="s">
        <v>38</v>
      </c>
      <c r="S156" s="275"/>
      <c r="T156" s="265">
        <v>8.1</v>
      </c>
      <c r="U156" s="265">
        <f t="shared" si="49"/>
        <v>1</v>
      </c>
      <c r="V156" s="265">
        <f t="shared" si="50"/>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47"/>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48"/>
        <v>1</v>
      </c>
      <c r="Q157" s="242">
        <f t="shared" ca="1" si="37"/>
        <v>-1</v>
      </c>
      <c r="R157" s="257" t="s">
        <v>38</v>
      </c>
      <c r="S157" s="275"/>
      <c r="T157" s="265">
        <v>8.1</v>
      </c>
      <c r="U157" s="265">
        <f t="shared" si="49"/>
        <v>1</v>
      </c>
      <c r="V157" s="265">
        <f t="shared" si="50"/>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47"/>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48"/>
        <v>1</v>
      </c>
      <c r="Q158" s="242">
        <f t="shared" ca="1" si="37"/>
        <v>-1</v>
      </c>
      <c r="R158" s="257" t="s">
        <v>38</v>
      </c>
      <c r="S158" s="275"/>
      <c r="T158" s="265">
        <v>8.1</v>
      </c>
      <c r="U158" s="265">
        <f t="shared" si="49"/>
        <v>1</v>
      </c>
      <c r="V158" s="265">
        <f t="shared" si="50"/>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1990</v>
      </c>
      <c r="G159" s="235">
        <f>COUNTA(G160:G160)</f>
        <v>1</v>
      </c>
      <c r="H159" s="289" t="s">
        <v>1986</v>
      </c>
      <c r="I159" s="273">
        <f>MAX(I160)</f>
        <v>45595</v>
      </c>
      <c r="J159" s="272">
        <f>MIN(J160)</f>
        <v>45624</v>
      </c>
      <c r="K159" s="324">
        <f>MIN(K160)</f>
        <v>45624</v>
      </c>
      <c r="L159" s="272">
        <f>MIN(L160:L160)</f>
        <v>45639</v>
      </c>
      <c r="M159" s="273">
        <f>MAX(M160:M160)</f>
        <v>45639</v>
      </c>
      <c r="N159" s="318" t="s">
        <v>1890</v>
      </c>
      <c r="O159" s="309">
        <f>O160</f>
        <v>0</v>
      </c>
      <c r="P159" s="309">
        <f ca="1">SUMPRODUCT(P160:P160,U160:U160)/SUM(U160:U160)</f>
        <v>1</v>
      </c>
      <c r="Q159" s="251">
        <f t="shared" ca="1" si="37"/>
        <v>-1</v>
      </c>
      <c r="R159" s="257" t="s">
        <v>2017</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7"/>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1887</v>
      </c>
      <c r="F161" s="234" t="s">
        <v>1911</v>
      </c>
      <c r="G161" s="235">
        <f>COUNTA(G162:G164)</f>
        <v>3</v>
      </c>
      <c r="H161" s="290" t="s">
        <v>1943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1</v>
      </c>
      <c r="P161" s="317">
        <f ca="1">SUMPRODUCT(P162:P164,U162:U164)/SUM(U162:U164)</f>
        <v>1</v>
      </c>
      <c r="Q161" s="242">
        <f t="shared" ca="1" si="37"/>
        <v>0</v>
      </c>
      <c r="R161" s="366" t="s">
        <v>1985</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1887</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7"/>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1887</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7"/>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1887</v>
      </c>
      <c r="F164" s="233"/>
      <c r="G164" s="233" t="s">
        <v>418</v>
      </c>
      <c r="H164" s="230" t="str">
        <f>VLOOKUP(A164,'2. Status Detalhe Campos FY24'!$A$7:$G$716,7,0)</f>
        <v>1. Concluído</v>
      </c>
      <c r="I164" s="280">
        <v>45593</v>
      </c>
      <c r="J164" s="319">
        <v>45624</v>
      </c>
      <c r="K164" s="325">
        <v>45624</v>
      </c>
      <c r="L164" s="285">
        <f t="array" ref="L164">MIN(IF(W164:CI164&gt;0,$W$16:$CI$16))</f>
        <v>45644</v>
      </c>
      <c r="M164" s="286">
        <f t="array" ref="M164">MAX(IF(W164:CI164&gt;0,$W$16:$CI$16))</f>
        <v>45644</v>
      </c>
      <c r="N164" s="286"/>
      <c r="O164" s="243">
        <f>VLOOKUP(H164,Auxiliar!$B$16:$E$24,4,0)</f>
        <v>1</v>
      </c>
      <c r="P164" s="243">
        <f ca="1">IF(TODAY()&lt;=L164,0,MIN((TODAY()-L164)/(M164-L164+1),100%))</f>
        <v>1</v>
      </c>
      <c r="Q164" s="242">
        <f t="shared" ca="1" si="37"/>
        <v>0</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1887</v>
      </c>
      <c r="F165" s="234" t="s">
        <v>1989</v>
      </c>
      <c r="G165" s="235">
        <f>COUNTA(G166)</f>
        <v>1</v>
      </c>
      <c r="H165" s="289" t="s">
        <v>1986</v>
      </c>
      <c r="I165" s="273">
        <f>MAX(I166:I172)</f>
        <v>45646</v>
      </c>
      <c r="J165" s="272">
        <f>MIN(J166:J172)</f>
        <v>45624</v>
      </c>
      <c r="K165" s="324">
        <f>MIN(K166:K172)</f>
        <v>45624</v>
      </c>
      <c r="L165" s="273">
        <f>MIN(L166:L172)</f>
        <v>45630</v>
      </c>
      <c r="M165" s="273">
        <f>MAX(M166:M172)</f>
        <v>45667</v>
      </c>
      <c r="N165" s="318" t="s">
        <v>1890</v>
      </c>
      <c r="O165" s="309">
        <f>O166</f>
        <v>0.25</v>
      </c>
      <c r="P165" s="309">
        <f ca="1">P166</f>
        <v>1</v>
      </c>
      <c r="Q165" s="242">
        <f ca="1">O165-P165</f>
        <v>-0.75</v>
      </c>
      <c r="R165" s="257" t="s">
        <v>2017</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1988</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1887</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7"/>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1933</v>
      </c>
      <c r="G167" s="235">
        <f>COUNTA(G168:G168)</f>
        <v>1</v>
      </c>
      <c r="H167" s="290" t="s">
        <v>1943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51">O167-P167</f>
        <v>0</v>
      </c>
      <c r="R167" s="366" t="s">
        <v>1993</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52">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53">IF(TODAY()&lt;=L168,0,MIN((TODAY()-L168)/(M168-L168+1),100%))</f>
        <v>1</v>
      </c>
      <c r="Q168" s="242">
        <f t="shared" ca="1" si="51"/>
        <v>0</v>
      </c>
      <c r="R168" s="257" t="s">
        <v>38</v>
      </c>
      <c r="S168" s="275"/>
      <c r="T168" s="294">
        <v>4.0999999999999996</v>
      </c>
      <c r="U168" s="265">
        <f t="shared" ref="U168:U173" si="54">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1933</v>
      </c>
      <c r="G169" s="235">
        <f>COUNTA(G170:G173)</f>
        <v>4</v>
      </c>
      <c r="H169" s="406" t="s">
        <v>1226</v>
      </c>
      <c r="I169" s="273">
        <f>MAX(I170:M173)</f>
        <v>45646</v>
      </c>
      <c r="J169" s="272">
        <f>MIN(J170:J176)</f>
        <v>45624</v>
      </c>
      <c r="K169" s="324">
        <f>MIN(K170:K176)</f>
        <v>45624</v>
      </c>
      <c r="L169" s="272">
        <f>MIN(L170:L176)</f>
        <v>45630</v>
      </c>
      <c r="M169" s="273">
        <f>MAX(M170:M176)</f>
        <v>45667</v>
      </c>
      <c r="N169" s="318">
        <f t="array" ref="N169">MAX(IF(W169:CI169&gt;0,$W$16:$CI$16))</f>
        <v>45646</v>
      </c>
      <c r="O169" s="407"/>
      <c r="P169" s="407"/>
      <c r="Q169" s="242">
        <f>O169-P169</f>
        <v>0</v>
      </c>
      <c r="R169" s="366" t="s">
        <v>2015</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52"/>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53"/>
        <v>1</v>
      </c>
      <c r="Q170" s="242">
        <f t="shared" ca="1" si="51"/>
        <v>-1</v>
      </c>
      <c r="R170" s="257" t="s">
        <v>38</v>
      </c>
      <c r="S170" s="275"/>
      <c r="T170" s="265">
        <v>4.0999999999999996</v>
      </c>
      <c r="U170" s="265">
        <f t="shared" si="54"/>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52"/>
        <v>lt004_protectionflg_exec</v>
      </c>
      <c r="B172" s="141" t="s">
        <v>26</v>
      </c>
      <c r="C172" s="137" t="s">
        <v>26</v>
      </c>
      <c r="D172" s="230" t="s">
        <v>40</v>
      </c>
      <c r="E172" s="233" t="s">
        <v>368</v>
      </c>
      <c r="F172" s="233"/>
      <c r="G172" s="233" t="s">
        <v>1296</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53"/>
        <v>1</v>
      </c>
      <c r="Q172" s="242">
        <f t="shared" ca="1" si="51"/>
        <v>-1</v>
      </c>
      <c r="R172" s="257" t="s">
        <v>38</v>
      </c>
      <c r="S172" s="275"/>
      <c r="T172" s="265">
        <v>4.0999999999999996</v>
      </c>
      <c r="U172" s="265">
        <f t="shared" si="54"/>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52"/>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53"/>
        <v>1</v>
      </c>
      <c r="Q173" s="242">
        <f t="shared" ca="1" si="51"/>
        <v>-1</v>
      </c>
      <c r="R173" s="257" t="s">
        <v>38</v>
      </c>
      <c r="S173" s="275"/>
      <c r="T173" s="265">
        <v>4.0999999999999996</v>
      </c>
      <c r="U173" s="265">
        <f t="shared" si="54"/>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1987</v>
      </c>
      <c r="G174" s="235">
        <f>COUNTA(G175)</f>
        <v>1</v>
      </c>
      <c r="H174" s="290" t="s">
        <v>1943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51"/>
        <v>0</v>
      </c>
      <c r="R174" s="366" t="s">
        <v>1994</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51"/>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1911</v>
      </c>
      <c r="G176" s="402">
        <f>COUNTA(G177:G188)</f>
        <v>12</v>
      </c>
      <c r="H176" s="289" t="s">
        <v>1942</v>
      </c>
      <c r="I176" s="271" t="s">
        <v>38</v>
      </c>
      <c r="J176" s="291">
        <f>MIN(J177:J188)</f>
        <v>45628</v>
      </c>
      <c r="K176" s="324">
        <f>MIN(K177:K188)</f>
        <v>45629</v>
      </c>
      <c r="L176" s="272">
        <f>MIN(L177:L188)</f>
        <v>45630</v>
      </c>
      <c r="M176" s="273">
        <f>MAX(M177:M188)</f>
        <v>45667</v>
      </c>
      <c r="N176" s="318" t="s">
        <v>1890</v>
      </c>
      <c r="O176" s="246">
        <v>0</v>
      </c>
      <c r="P176" s="246">
        <v>0</v>
      </c>
      <c r="Q176" s="242">
        <f t="shared" si="51"/>
        <v>0</v>
      </c>
      <c r="R176" s="257" t="s">
        <v>2018</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55">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56">IF(TODAY()&lt;=L177,0,MIN((TODAY()-L177)/(M177-L177+1),100%))</f>
        <v>1</v>
      </c>
      <c r="Q177" s="242" t="e">
        <f t="shared" ca="1" si="51"/>
        <v>#N/A</v>
      </c>
      <c r="R177" s="373"/>
      <c r="S177" s="275"/>
      <c r="T177" s="265">
        <v>4.0999999999999996</v>
      </c>
      <c r="U177" s="265">
        <f t="shared" ref="U177:U188" si="57">ROUND(T177/8,1)</f>
        <v>0.5</v>
      </c>
      <c r="V177" s="265">
        <f t="shared" ref="V177:V188" si="58">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55"/>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56"/>
        <v>1</v>
      </c>
      <c r="Q178" s="242" t="e">
        <f t="shared" ca="1" si="51"/>
        <v>#N/A</v>
      </c>
      <c r="R178" s="373"/>
      <c r="S178" s="275"/>
      <c r="T178" s="265">
        <v>4.0999999999999996</v>
      </c>
      <c r="U178" s="265">
        <f t="shared" si="57"/>
        <v>0.5</v>
      </c>
      <c r="V178" s="265">
        <f t="shared" si="58"/>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55"/>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56"/>
        <v>1</v>
      </c>
      <c r="Q179" s="242" t="e">
        <f t="shared" ca="1" si="51"/>
        <v>#N/A</v>
      </c>
      <c r="R179" s="373"/>
      <c r="S179" s="275"/>
      <c r="T179" s="265">
        <v>4.0999999999999996</v>
      </c>
      <c r="U179" s="265">
        <f t="shared" si="57"/>
        <v>0.5</v>
      </c>
      <c r="V179" s="265">
        <f t="shared" si="58"/>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55"/>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56"/>
        <v>1</v>
      </c>
      <c r="Q180" s="242" t="e">
        <f t="shared" ca="1" si="51"/>
        <v>#N/A</v>
      </c>
      <c r="R180" s="373"/>
      <c r="S180" s="275"/>
      <c r="T180" s="265">
        <v>4.0999999999999996</v>
      </c>
      <c r="U180" s="265">
        <f t="shared" si="57"/>
        <v>0.5</v>
      </c>
      <c r="V180" s="265">
        <f t="shared" si="58"/>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55"/>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56"/>
        <v>1</v>
      </c>
      <c r="Q181" s="242" t="e">
        <f t="shared" ca="1" si="51"/>
        <v>#N/A</v>
      </c>
      <c r="R181" s="373"/>
      <c r="S181" s="275"/>
      <c r="T181" s="265">
        <v>16.100000000000001</v>
      </c>
      <c r="U181" s="265">
        <f t="shared" si="57"/>
        <v>2</v>
      </c>
      <c r="V181" s="265">
        <f t="shared" si="58"/>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55"/>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56"/>
        <v>1</v>
      </c>
      <c r="Q182" s="242" t="e">
        <f t="shared" ca="1" si="51"/>
        <v>#N/A</v>
      </c>
      <c r="R182" s="373"/>
      <c r="S182" s="275"/>
      <c r="T182" s="265">
        <v>16.100000000000001</v>
      </c>
      <c r="U182" s="265">
        <f t="shared" si="57"/>
        <v>2</v>
      </c>
      <c r="V182" s="265">
        <f t="shared" si="58"/>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55"/>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56"/>
        <v>1</v>
      </c>
      <c r="Q183" s="242" t="e">
        <f t="shared" ca="1" si="51"/>
        <v>#N/A</v>
      </c>
      <c r="R183" s="373"/>
      <c r="S183" s="275"/>
      <c r="T183" s="265">
        <v>8.1</v>
      </c>
      <c r="U183" s="265">
        <f t="shared" si="57"/>
        <v>1</v>
      </c>
      <c r="V183" s="265">
        <f t="shared" si="58"/>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55"/>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56"/>
        <v>1</v>
      </c>
      <c r="Q184" s="242" t="e">
        <f t="shared" ca="1" si="51"/>
        <v>#N/A</v>
      </c>
      <c r="R184" s="373"/>
      <c r="S184" s="275"/>
      <c r="T184" s="265">
        <v>8.1</v>
      </c>
      <c r="U184" s="265">
        <f t="shared" si="57"/>
        <v>1</v>
      </c>
      <c r="V184" s="265">
        <f t="shared" si="58"/>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55"/>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56"/>
        <v>1</v>
      </c>
      <c r="Q185" s="242" t="e">
        <f t="shared" ca="1" si="51"/>
        <v>#N/A</v>
      </c>
      <c r="R185" s="373"/>
      <c r="S185" s="275"/>
      <c r="T185" s="265">
        <v>8.1</v>
      </c>
      <c r="U185" s="265">
        <f t="shared" si="57"/>
        <v>1</v>
      </c>
      <c r="V185" s="265">
        <f t="shared" si="58"/>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55"/>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56"/>
        <v>1</v>
      </c>
      <c r="Q186" s="242" t="e">
        <f t="shared" ca="1" si="51"/>
        <v>#N/A</v>
      </c>
      <c r="R186" s="373"/>
      <c r="S186" s="275"/>
      <c r="T186" s="265">
        <v>8.1</v>
      </c>
      <c r="U186" s="265">
        <f t="shared" si="57"/>
        <v>1</v>
      </c>
      <c r="V186" s="265">
        <f t="shared" si="58"/>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55"/>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56"/>
        <v>1</v>
      </c>
      <c r="Q187" s="242" t="e">
        <f t="shared" ca="1" si="51"/>
        <v>#N/A</v>
      </c>
      <c r="R187" s="373"/>
      <c r="S187" s="275"/>
      <c r="T187" s="265">
        <v>4.0999999999999996</v>
      </c>
      <c r="U187" s="265">
        <f t="shared" si="57"/>
        <v>0.5</v>
      </c>
      <c r="V187" s="265">
        <f t="shared" si="58"/>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55"/>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56"/>
        <v>1</v>
      </c>
      <c r="Q188" s="242" t="e">
        <f t="shared" ca="1" si="51"/>
        <v>#N/A</v>
      </c>
      <c r="R188" s="373"/>
      <c r="S188" s="275"/>
      <c r="T188" s="265">
        <v>8.1</v>
      </c>
      <c r="U188" s="265">
        <f t="shared" si="57"/>
        <v>1</v>
      </c>
      <c r="V188" s="265">
        <f t="shared" si="58"/>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1949</v>
      </c>
      <c r="G189" s="235">
        <f>COUNTA(G190:G192)</f>
        <v>3</v>
      </c>
      <c r="H189" s="270" t="s">
        <v>1946</v>
      </c>
      <c r="I189" s="299">
        <f>MAX(I190:I192)</f>
        <v>45603</v>
      </c>
      <c r="J189" s="291">
        <f>MIN(J190:J192)</f>
        <v>45631</v>
      </c>
      <c r="K189" s="324">
        <f>MIN(K190:K192)</f>
        <v>45631</v>
      </c>
      <c r="L189" s="273">
        <f>MIN(L190:L192)</f>
        <v>45642</v>
      </c>
      <c r="M189" s="273">
        <f>MAX(M190:M192)</f>
        <v>45643</v>
      </c>
      <c r="N189" s="318" t="s">
        <v>1890</v>
      </c>
      <c r="O189" s="309">
        <f>SUMPRODUCT(O190:O192,U190:U192)/SUM(U190:U192)</f>
        <v>0</v>
      </c>
      <c r="P189" s="309">
        <f ca="1">SUMPRODUCT(P190:P192,U190:U192)/SUM(U190:U192)</f>
        <v>1</v>
      </c>
      <c r="Q189" s="242">
        <f t="shared" ref="Q189:Q197" ca="1" si="59">O189-P189</f>
        <v>-1</v>
      </c>
      <c r="R189" s="366" t="s">
        <v>1996</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59"/>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59"/>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59"/>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1933</v>
      </c>
      <c r="G193" s="235">
        <f>COUNTA(G194:G197)</f>
        <v>4</v>
      </c>
      <c r="H193" s="290" t="s">
        <v>1943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59"/>
        <v>-1</v>
      </c>
      <c r="R193" s="366" t="s">
        <v>1985</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Re-especificação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59"/>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Re-especificação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59"/>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Re-especificação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59"/>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Re-especificação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59"/>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1948</v>
      </c>
      <c r="G198" s="235">
        <f>COUNTA(G199:G204)</f>
        <v>6</v>
      </c>
      <c r="H198" s="290" t="s">
        <v>1943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60">O198-P198</f>
        <v>0</v>
      </c>
      <c r="R198" s="366" t="s">
        <v>1993</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61">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62">IF(TODAY()&lt;=L199,0,MIN((TODAY()-L199)/(M199-L199+1),100%))</f>
        <v>1</v>
      </c>
      <c r="Q199" s="242">
        <f t="shared" ca="1" si="60"/>
        <v>0</v>
      </c>
      <c r="R199" s="372" t="s">
        <v>38</v>
      </c>
      <c r="S199" s="275" t="s">
        <v>1886</v>
      </c>
      <c r="T199" s="265">
        <v>4.0999999999999996</v>
      </c>
      <c r="U199" s="265">
        <f t="shared" ref="U199:U204" si="63">ROUND(T199/8,1)</f>
        <v>0.5</v>
      </c>
      <c r="V199" s="265">
        <f t="shared" ref="V199:V204" si="64">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61"/>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62"/>
        <v>1</v>
      </c>
      <c r="Q200" s="242">
        <f t="shared" ca="1" si="60"/>
        <v>0</v>
      </c>
      <c r="R200" s="372" t="s">
        <v>38</v>
      </c>
      <c r="S200" s="275" t="s">
        <v>1886</v>
      </c>
      <c r="T200" s="265">
        <v>4.0999999999999996</v>
      </c>
      <c r="U200" s="265">
        <f t="shared" si="63"/>
        <v>0.5</v>
      </c>
      <c r="V200" s="265">
        <f t="shared" si="64"/>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61"/>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62"/>
        <v>1</v>
      </c>
      <c r="Q201" s="242">
        <f t="shared" ca="1" si="60"/>
        <v>0</v>
      </c>
      <c r="R201" s="372" t="s">
        <v>38</v>
      </c>
      <c r="S201" s="275" t="s">
        <v>1886</v>
      </c>
      <c r="T201" s="265">
        <v>4.0999999999999996</v>
      </c>
      <c r="U201" s="265">
        <f t="shared" si="63"/>
        <v>0.5</v>
      </c>
      <c r="V201" s="265">
        <f t="shared" si="64"/>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61"/>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62"/>
        <v>1</v>
      </c>
      <c r="Q202" s="242">
        <f t="shared" ca="1" si="60"/>
        <v>0</v>
      </c>
      <c r="R202" s="372" t="s">
        <v>38</v>
      </c>
      <c r="S202" s="275" t="s">
        <v>1886</v>
      </c>
      <c r="T202" s="265">
        <v>4.0999999999999996</v>
      </c>
      <c r="U202" s="265">
        <f t="shared" si="63"/>
        <v>0.5</v>
      </c>
      <c r="V202" s="265">
        <f t="shared" si="64"/>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61"/>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62"/>
        <v>1</v>
      </c>
      <c r="Q203" s="242">
        <f t="shared" ca="1" si="60"/>
        <v>0</v>
      </c>
      <c r="R203" s="372" t="s">
        <v>38</v>
      </c>
      <c r="S203" s="275" t="s">
        <v>1886</v>
      </c>
      <c r="T203" s="265">
        <v>4.0999999999999996</v>
      </c>
      <c r="U203" s="265">
        <f t="shared" si="63"/>
        <v>0.5</v>
      </c>
      <c r="V203" s="265">
        <f t="shared" si="64"/>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61"/>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62"/>
        <v>1</v>
      </c>
      <c r="Q204" s="242">
        <f t="shared" ca="1" si="60"/>
        <v>0</v>
      </c>
      <c r="R204" s="372" t="s">
        <v>38</v>
      </c>
      <c r="S204" s="275" t="s">
        <v>1886</v>
      </c>
      <c r="T204" s="265">
        <v>4.0999999999999996</v>
      </c>
      <c r="U204" s="265">
        <f t="shared" si="63"/>
        <v>0.5</v>
      </c>
      <c r="V204" s="265">
        <f t="shared" si="64"/>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1935</v>
      </c>
      <c r="G205" s="402">
        <f>COUNTA(G206:G217)</f>
        <v>12</v>
      </c>
      <c r="H205" s="401" t="s">
        <v>572</v>
      </c>
      <c r="I205" s="271" t="s">
        <v>38</v>
      </c>
      <c r="J205" s="272">
        <f>MIN(J206:J217)</f>
        <v>45630</v>
      </c>
      <c r="K205" s="272">
        <f>MIN(K206:K217)</f>
        <v>45631</v>
      </c>
      <c r="L205" s="274">
        <f>MIN(L206:L217)</f>
        <v>45646</v>
      </c>
      <c r="M205" s="274">
        <f>MAX(M206:M217)</f>
        <v>45659</v>
      </c>
      <c r="N205" s="318" t="s">
        <v>1890</v>
      </c>
      <c r="O205" s="246" t="e">
        <f>SUMPRODUCT(O206:O217,U206:U217)/SUM(U206:U217)</f>
        <v>#N/A</v>
      </c>
      <c r="P205" s="246">
        <v>0</v>
      </c>
      <c r="Q205" s="242" t="e">
        <f>O205-P205</f>
        <v>#N/A</v>
      </c>
      <c r="R205" s="372" t="s">
        <v>2019</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65">E206&amp;G206</f>
        <v>ENERGY_CERTIFICATE_EST_INPUTPROPERTY_BANK_ID</v>
      </c>
      <c r="B206" s="141" t="s">
        <v>26</v>
      </c>
      <c r="C206" s="137" t="s">
        <v>34</v>
      </c>
      <c r="D206" s="230" t="s">
        <v>40</v>
      </c>
      <c r="E206" s="231" t="s">
        <v>37</v>
      </c>
      <c r="F206" s="231"/>
      <c r="G206" s="230" t="s">
        <v>41</v>
      </c>
      <c r="H206" s="230" t="str">
        <f>VLOOKUP(A206,'2. Status Detalhe Campos FY24'!$A$7:$G$716,7,0)</f>
        <v>6. Em implementação (re-especificação)</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66">O206-P206</f>
        <v>-1</v>
      </c>
      <c r="R206" s="373"/>
      <c r="S206" s="275"/>
      <c r="T206" s="265">
        <v>0.6</v>
      </c>
      <c r="U206" s="265">
        <f t="shared" ref="U206:U247" si="67">ROUND(T206/8,1)</f>
        <v>0.1</v>
      </c>
      <c r="V206" s="265">
        <f t="shared" ref="V206:V217" si="68">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65"/>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69">IF(TODAY()&lt;=L207,0,MIN((TODAY()-L207)/(M207-L207+1),100%))</f>
        <v>1</v>
      </c>
      <c r="Q207" s="242" t="e">
        <f t="shared" ca="1" si="66"/>
        <v>#N/A</v>
      </c>
      <c r="R207" s="373"/>
      <c r="S207" s="275"/>
      <c r="T207" s="265">
        <v>0.6</v>
      </c>
      <c r="U207" s="265">
        <f t="shared" si="67"/>
        <v>0.1</v>
      </c>
      <c r="V207" s="265">
        <f t="shared" si="68"/>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65"/>
        <v>ENERGY_CERTIFICATE_EST_INPUTPROPERTY_BRANCH_CODE</v>
      </c>
      <c r="B208" s="141" t="s">
        <v>26</v>
      </c>
      <c r="C208" s="137" t="s">
        <v>34</v>
      </c>
      <c r="D208" s="230" t="s">
        <v>40</v>
      </c>
      <c r="E208" s="231" t="s">
        <v>37</v>
      </c>
      <c r="F208" s="231"/>
      <c r="G208" s="230" t="s">
        <v>43</v>
      </c>
      <c r="H208" s="230" t="str">
        <f>VLOOKUP(A208,'2. Status Detalhe Campos FY24'!$A$7:$G$716,7,0)</f>
        <v>6. Em implementação (re-especificação)</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69"/>
        <v>1</v>
      </c>
      <c r="Q208" s="242">
        <f t="shared" ca="1" si="66"/>
        <v>-1</v>
      </c>
      <c r="R208" s="373"/>
      <c r="S208" s="275"/>
      <c r="T208" s="265">
        <v>0.6</v>
      </c>
      <c r="U208" s="265">
        <f t="shared" si="67"/>
        <v>0.1</v>
      </c>
      <c r="V208" s="265">
        <f t="shared" si="68"/>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65"/>
        <v>ENERGY_CERTIFICATE_EST_INPUTPROPERTY_CONTRACT_ID</v>
      </c>
      <c r="B209" s="141" t="s">
        <v>26</v>
      </c>
      <c r="C209" s="137" t="s">
        <v>34</v>
      </c>
      <c r="D209" s="230" t="s">
        <v>40</v>
      </c>
      <c r="E209" s="231" t="s">
        <v>37</v>
      </c>
      <c r="F209" s="231"/>
      <c r="G209" s="230" t="s">
        <v>44</v>
      </c>
      <c r="H209" s="230" t="str">
        <f>VLOOKUP(A209,'2. Status Detalhe Campos FY24'!$A$7:$G$716,7,0)</f>
        <v>6. Em implementação (re-especificação)</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69"/>
        <v>1</v>
      </c>
      <c r="Q209" s="242">
        <f t="shared" ca="1" si="66"/>
        <v>-1</v>
      </c>
      <c r="R209" s="373"/>
      <c r="S209" s="275"/>
      <c r="T209" s="265">
        <v>0.6</v>
      </c>
      <c r="U209" s="265">
        <f t="shared" si="67"/>
        <v>0.1</v>
      </c>
      <c r="V209" s="265">
        <f t="shared" si="68"/>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65"/>
        <v>ENERGY_CERTIFICATE_EST_INPUTPROPERTY_REFERENCE_CODE</v>
      </c>
      <c r="B210" s="141" t="s">
        <v>26</v>
      </c>
      <c r="C210" s="137" t="s">
        <v>34</v>
      </c>
      <c r="D210" s="230" t="s">
        <v>40</v>
      </c>
      <c r="E210" s="231" t="s">
        <v>37</v>
      </c>
      <c r="F210" s="231"/>
      <c r="G210" s="230" t="s">
        <v>45</v>
      </c>
      <c r="H210" s="230" t="str">
        <f>VLOOKUP(A210,'2. Status Detalhe Campos FY24'!$A$7:$G$716,7,0)</f>
        <v>6. Em implementação (re-especificação)</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69"/>
        <v>1</v>
      </c>
      <c r="Q210" s="242">
        <f t="shared" ca="1" si="66"/>
        <v>-1</v>
      </c>
      <c r="R210" s="373"/>
      <c r="S210" s="275"/>
      <c r="T210" s="265">
        <v>0.6</v>
      </c>
      <c r="U210" s="265">
        <f t="shared" si="67"/>
        <v>0.1</v>
      </c>
      <c r="V210" s="265">
        <f t="shared" si="68"/>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65"/>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69"/>
        <v>1</v>
      </c>
      <c r="Q211" s="242" t="e">
        <f t="shared" ca="1" si="66"/>
        <v>#N/A</v>
      </c>
      <c r="R211" s="373"/>
      <c r="S211" s="275"/>
      <c r="T211" s="265">
        <v>0.6</v>
      </c>
      <c r="U211" s="265">
        <f t="shared" si="67"/>
        <v>0.1</v>
      </c>
      <c r="V211" s="265">
        <f t="shared" si="68"/>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65"/>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69"/>
        <v>1</v>
      </c>
      <c r="Q212" s="242" t="e">
        <f t="shared" ca="1" si="66"/>
        <v>#N/A</v>
      </c>
      <c r="R212" s="373"/>
      <c r="S212" s="275"/>
      <c r="T212" s="265">
        <v>0.6</v>
      </c>
      <c r="U212" s="265">
        <f t="shared" si="67"/>
        <v>0.1</v>
      </c>
      <c r="V212" s="265">
        <f t="shared" si="68"/>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65"/>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69"/>
        <v>1</v>
      </c>
      <c r="Q213" s="242" t="e">
        <f t="shared" ca="1" si="66"/>
        <v>#N/A</v>
      </c>
      <c r="R213" s="373"/>
      <c r="S213" s="275"/>
      <c r="T213" s="265">
        <v>0.6</v>
      </c>
      <c r="U213" s="265">
        <f t="shared" si="67"/>
        <v>0.1</v>
      </c>
      <c r="V213" s="265">
        <f t="shared" si="68"/>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65"/>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69"/>
        <v>1</v>
      </c>
      <c r="Q214" s="242" t="e">
        <f t="shared" ca="1" si="66"/>
        <v>#N/A</v>
      </c>
      <c r="R214" s="373"/>
      <c r="S214" s="275"/>
      <c r="T214" s="265">
        <v>0.6</v>
      </c>
      <c r="U214" s="265">
        <f t="shared" si="67"/>
        <v>0.1</v>
      </c>
      <c r="V214" s="265">
        <f t="shared" si="68"/>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65"/>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69"/>
        <v>1</v>
      </c>
      <c r="Q215" s="242" t="e">
        <f t="shared" ca="1" si="66"/>
        <v>#N/A</v>
      </c>
      <c r="R215" s="373"/>
      <c r="S215" s="275"/>
      <c r="T215" s="265">
        <v>0.6</v>
      </c>
      <c r="U215" s="265">
        <f t="shared" si="67"/>
        <v>0.1</v>
      </c>
      <c r="V215" s="265">
        <f t="shared" si="68"/>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65"/>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69"/>
        <v>1</v>
      </c>
      <c r="Q216" s="242" t="e">
        <f t="shared" ca="1" si="66"/>
        <v>#N/A</v>
      </c>
      <c r="R216" s="373"/>
      <c r="S216" s="275"/>
      <c r="T216" s="265">
        <v>0.6</v>
      </c>
      <c r="U216" s="265">
        <f t="shared" si="67"/>
        <v>0.1</v>
      </c>
      <c r="V216" s="265">
        <f t="shared" si="68"/>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65"/>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69"/>
        <v>1</v>
      </c>
      <c r="Q217" s="242" t="e">
        <f t="shared" ca="1" si="66"/>
        <v>#N/A</v>
      </c>
      <c r="R217" s="373"/>
      <c r="S217" s="275"/>
      <c r="T217" s="265">
        <v>0.6</v>
      </c>
      <c r="U217" s="265">
        <f t="shared" si="67"/>
        <v>0.1</v>
      </c>
      <c r="V217" s="265">
        <f t="shared" si="68"/>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1911</v>
      </c>
      <c r="G218" s="250">
        <v>1</v>
      </c>
      <c r="H218" s="290" t="s">
        <v>1943</v>
      </c>
      <c r="I218" s="273">
        <v>45604</v>
      </c>
      <c r="J218" s="273">
        <v>45645</v>
      </c>
      <c r="K218" s="273">
        <v>45645</v>
      </c>
      <c r="L218" s="274"/>
      <c r="M218" s="305"/>
      <c r="N218" s="318">
        <f t="array" ref="N218">MAX(IF(W218:CI218&gt;0,$W$16:$CI$16))</f>
        <v>45667</v>
      </c>
      <c r="O218" s="317">
        <v>1</v>
      </c>
      <c r="P218" s="317">
        <v>1</v>
      </c>
      <c r="Q218" s="242">
        <f>O218-P218</f>
        <v>0</v>
      </c>
      <c r="R218" s="366" t="s">
        <v>1994</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1944</v>
      </c>
      <c r="F219" s="234" t="s">
        <v>1980</v>
      </c>
      <c r="G219" s="403" t="s">
        <v>1890</v>
      </c>
      <c r="H219" s="270" t="s">
        <v>1946</v>
      </c>
      <c r="I219" s="273">
        <v>45604</v>
      </c>
      <c r="J219" s="273">
        <v>45630</v>
      </c>
      <c r="K219" s="273">
        <v>45631</v>
      </c>
      <c r="L219" s="274">
        <f t="array" ref="L219">MIN(IF(W219:CI219&gt;0,$W$16:$CI$16))</f>
        <v>45665</v>
      </c>
      <c r="M219" s="305">
        <f t="array" ref="M219">MAX(IF(W219:CI219&gt;0,$W$16:$CI$16))</f>
        <v>45667</v>
      </c>
      <c r="N219" s="318" t="s">
        <v>1890</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1932</v>
      </c>
      <c r="G220" s="404">
        <f>COUNTA(G221:G224)</f>
        <v>4</v>
      </c>
      <c r="H220" s="290" t="s">
        <v>1943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0.2</v>
      </c>
      <c r="P220" s="317">
        <f ca="1">SUMPRODUCT(P221:P224,U221:U224)/SUM(U221:U224)</f>
        <v>1</v>
      </c>
      <c r="Q220" s="242">
        <f t="shared" ref="Q220:Q225" ca="1" si="70">O220-P220</f>
        <v>-0.8</v>
      </c>
      <c r="R220" s="366" t="s">
        <v>2016</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71">E221&amp;G221</f>
        <v>modesg_out_bens_imoveisflg_rsc_fsc_agd</v>
      </c>
      <c r="B221" s="141" t="s">
        <v>26</v>
      </c>
      <c r="C221" s="137" t="s">
        <v>310</v>
      </c>
      <c r="D221" s="230" t="s">
        <v>40</v>
      </c>
      <c r="E221" s="231" t="s">
        <v>311</v>
      </c>
      <c r="F221" s="231"/>
      <c r="G221" s="327" t="s">
        <v>282</v>
      </c>
      <c r="H221" s="230" t="str">
        <f>VLOOKUP(A221,'2. Status Detalhe Campos FY24'!$A$7:$G$716,7,0)</f>
        <v>2.2 Em Re-especificação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70"/>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71"/>
        <v>modesg_out_bens_imoveisflg_rsc_fsc_crnc</v>
      </c>
      <c r="B222" s="141" t="s">
        <v>26</v>
      </c>
      <c r="C222" s="137" t="s">
        <v>310</v>
      </c>
      <c r="D222" s="230" t="s">
        <v>40</v>
      </c>
      <c r="E222" s="231" t="s">
        <v>311</v>
      </c>
      <c r="F222" s="231"/>
      <c r="G222" s="327" t="s">
        <v>283</v>
      </c>
      <c r="H222" s="230" t="str">
        <f>VLOOKUP(A222,'2. Status Detalhe Campos FY24'!$A$7:$G$716,7,0)</f>
        <v>2.2 Em Re-especificação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70"/>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71"/>
        <v>modesg_out_bens_imoveisorigem_flg_rsc_fsc_agd</v>
      </c>
      <c r="B223" s="141" t="s">
        <v>26</v>
      </c>
      <c r="C223" s="137" t="s">
        <v>310</v>
      </c>
      <c r="D223" s="230" t="s">
        <v>40</v>
      </c>
      <c r="E223" s="231" t="s">
        <v>311</v>
      </c>
      <c r="F223" s="231"/>
      <c r="G223" s="327" t="s">
        <v>317</v>
      </c>
      <c r="H223" s="230" t="str">
        <f>VLOOKUP(A223,'2. Status Detalhe Campos FY24'!$A$7:$G$716,7,0)</f>
        <v>1. Concluído</v>
      </c>
      <c r="I223" s="271" t="s">
        <v>38</v>
      </c>
      <c r="J223" s="280">
        <v>45631</v>
      </c>
      <c r="K223" s="280">
        <v>45631</v>
      </c>
      <c r="L223" s="285">
        <f t="array" ref="L223">MIN(IF(W223:CI223&gt;0,$W$16:$CI$16))</f>
        <v>45664</v>
      </c>
      <c r="M223" s="286">
        <f t="array" ref="M223">MAX(IF(W223:CI223&gt;0,$W$16:$CI$16))</f>
        <v>45664</v>
      </c>
      <c r="N223" s="286"/>
      <c r="O223" s="243">
        <f>VLOOKUP(H223,Auxiliar!$B$16:$E$24,4,0)</f>
        <v>1</v>
      </c>
      <c r="P223" s="243">
        <f ca="1">IF(TODAY()&lt;=L223,0,MIN((TODAY()-L223)/(M223-L223+1),100%))</f>
        <v>1</v>
      </c>
      <c r="Q223" s="242">
        <f t="shared" ca="1" si="70"/>
        <v>0</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71"/>
        <v>modesg_out_bens_imoveisorigem_flg_rsc_fsc_crnc</v>
      </c>
      <c r="B224" s="141" t="s">
        <v>26</v>
      </c>
      <c r="C224" s="137" t="s">
        <v>310</v>
      </c>
      <c r="D224" s="230" t="s">
        <v>40</v>
      </c>
      <c r="E224" s="231" t="s">
        <v>311</v>
      </c>
      <c r="F224" s="231"/>
      <c r="G224" s="327" t="s">
        <v>318</v>
      </c>
      <c r="H224" s="230" t="str">
        <f>VLOOKUP(A224,'2. Status Detalhe Campos FY24'!$A$7:$G$716,7,0)</f>
        <v>1. Concluído</v>
      </c>
      <c r="I224" s="271" t="s">
        <v>38</v>
      </c>
      <c r="J224" s="280">
        <v>45631</v>
      </c>
      <c r="K224" s="280">
        <v>45631</v>
      </c>
      <c r="L224" s="285">
        <f t="array" ref="L224">MIN(IF(W224:CI224&gt;0,$W$16:$CI$16))</f>
        <v>45664</v>
      </c>
      <c r="M224" s="286">
        <f t="array" ref="M224">MAX(IF(W224:CI224&gt;0,$W$16:$CI$16))</f>
        <v>45664</v>
      </c>
      <c r="N224" s="286"/>
      <c r="O224" s="243">
        <f>VLOOKUP(H224,Auxiliar!$B$16:$E$24,4,0)</f>
        <v>1</v>
      </c>
      <c r="P224" s="243">
        <f ca="1">IF(TODAY()&lt;=L224,0,MIN((TODAY()-L224)/(M224-L224+1),100%))</f>
        <v>1</v>
      </c>
      <c r="Q224" s="242">
        <f t="shared" ca="1" si="70"/>
        <v>0</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71"/>
        <v>lt002_instrument3</v>
      </c>
      <c r="B225" s="141" t="s">
        <v>26</v>
      </c>
      <c r="C225" s="137" t="s">
        <v>26</v>
      </c>
      <c r="D225" s="230"/>
      <c r="E225" s="367" t="s">
        <v>379</v>
      </c>
      <c r="F225" s="236" t="s">
        <v>1934</v>
      </c>
      <c r="G225" s="250">
        <v>3</v>
      </c>
      <c r="H225" s="293" t="s">
        <v>1947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70"/>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71"/>
        <v>lt002_instrumentgrss_intrst_incm</v>
      </c>
      <c r="B226" s="141" t="s">
        <v>26</v>
      </c>
      <c r="C226" s="137" t="s">
        <v>26</v>
      </c>
      <c r="D226" s="230"/>
      <c r="E226" s="233" t="s">
        <v>379</v>
      </c>
      <c r="F226" s="233"/>
      <c r="G226" s="328" t="s">
        <v>420</v>
      </c>
      <c r="H226" s="230" t="str">
        <f>VLOOKUP(A226,'2. Status Detalhe Campos FY24'!$A$7:$G$716,7,0)</f>
        <v>5. Em Correção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71"/>
        <v>lt002_instrumentgrss_cmmssn_incm</v>
      </c>
      <c r="B227" s="141" t="s">
        <v>26</v>
      </c>
      <c r="C227" s="137" t="s">
        <v>26</v>
      </c>
      <c r="D227" s="230"/>
      <c r="E227" s="233" t="s">
        <v>379</v>
      </c>
      <c r="F227" s="233"/>
      <c r="G227" s="328" t="s">
        <v>421</v>
      </c>
      <c r="H227" s="230" t="str">
        <f>VLOOKUP(A227,'2. Status Detalhe Campos FY24'!$A$7:$G$716,7,0)</f>
        <v>5. Em Correção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71"/>
        <v>lt002_instrumentgrss_cmmssn_incm_off_blnc</v>
      </c>
      <c r="B228" s="141" t="s">
        <v>26</v>
      </c>
      <c r="C228" s="137" t="s">
        <v>26</v>
      </c>
      <c r="D228" s="230"/>
      <c r="E228" s="233" t="s">
        <v>379</v>
      </c>
      <c r="F228" s="233"/>
      <c r="G228" s="328" t="s">
        <v>422</v>
      </c>
      <c r="H228" s="230" t="str">
        <f>VLOOKUP(A228,'2. Status Detalhe Campos FY24'!$A$7:$G$716,7,0)</f>
        <v>5. Em Correção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1935</v>
      </c>
      <c r="G229" s="326">
        <f>COUNTA(G230:G248)</f>
        <v>19</v>
      </c>
      <c r="H229" s="290" t="s">
        <v>1943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66"/>
        <v>0</v>
      </c>
      <c r="R229" s="366" t="s">
        <v>1981</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65"/>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69"/>
        <v>1</v>
      </c>
      <c r="Q230" s="242">
        <f t="shared" ca="1" si="66"/>
        <v>0</v>
      </c>
      <c r="R230" s="373"/>
      <c r="S230" s="287" t="s">
        <v>1883</v>
      </c>
      <c r="T230" s="265">
        <v>4.0999999999999996</v>
      </c>
      <c r="U230" s="265">
        <f t="shared" si="67"/>
        <v>0.5</v>
      </c>
      <c r="V230" s="265">
        <f t="shared" ref="V230:V247" si="72">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65"/>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69"/>
        <v>1</v>
      </c>
      <c r="Q231" s="242">
        <f t="shared" ca="1" si="66"/>
        <v>0</v>
      </c>
      <c r="R231" s="373"/>
      <c r="S231" s="287" t="s">
        <v>1883</v>
      </c>
      <c r="T231" s="265">
        <v>4.0999999999999996</v>
      </c>
      <c r="U231" s="265">
        <f t="shared" si="67"/>
        <v>0.5</v>
      </c>
      <c r="V231" s="265">
        <f t="shared" si="72"/>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65"/>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69"/>
        <v>1</v>
      </c>
      <c r="Q232" s="242">
        <f t="shared" ca="1" si="66"/>
        <v>0</v>
      </c>
      <c r="R232" s="373"/>
      <c r="S232" s="287" t="s">
        <v>1883</v>
      </c>
      <c r="T232" s="265">
        <v>4.0999999999999996</v>
      </c>
      <c r="U232" s="265">
        <f t="shared" si="67"/>
        <v>0.5</v>
      </c>
      <c r="V232" s="265">
        <f t="shared" si="72"/>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65"/>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69"/>
        <v>1</v>
      </c>
      <c r="Q233" s="242">
        <f t="shared" ca="1" si="66"/>
        <v>0</v>
      </c>
      <c r="R233" s="373"/>
      <c r="S233" s="287" t="s">
        <v>1883</v>
      </c>
      <c r="T233" s="265">
        <v>4.0999999999999996</v>
      </c>
      <c r="U233" s="265">
        <f t="shared" si="67"/>
        <v>0.5</v>
      </c>
      <c r="V233" s="265">
        <f t="shared" si="72"/>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65"/>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69"/>
        <v>1</v>
      </c>
      <c r="Q234" s="242">
        <f t="shared" ca="1" si="66"/>
        <v>0</v>
      </c>
      <c r="R234" s="373"/>
      <c r="S234" s="287" t="s">
        <v>1883</v>
      </c>
      <c r="T234" s="265">
        <v>4.0999999999999996</v>
      </c>
      <c r="U234" s="265">
        <f t="shared" si="67"/>
        <v>0.5</v>
      </c>
      <c r="V234" s="265">
        <f t="shared" si="72"/>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65"/>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69"/>
        <v>1</v>
      </c>
      <c r="Q235" s="242">
        <f t="shared" ca="1" si="66"/>
        <v>0</v>
      </c>
      <c r="R235" s="373"/>
      <c r="S235" s="287" t="s">
        <v>1883</v>
      </c>
      <c r="T235" s="265">
        <v>4.0999999999999996</v>
      </c>
      <c r="U235" s="265">
        <f t="shared" si="67"/>
        <v>0.5</v>
      </c>
      <c r="V235" s="265">
        <f t="shared" si="72"/>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65"/>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69"/>
        <v>1</v>
      </c>
      <c r="Q236" s="242">
        <f t="shared" ca="1" si="66"/>
        <v>0</v>
      </c>
      <c r="R236" s="373"/>
      <c r="S236" s="287" t="s">
        <v>1883</v>
      </c>
      <c r="T236" s="265">
        <v>4.0999999999999996</v>
      </c>
      <c r="U236" s="265">
        <f t="shared" si="67"/>
        <v>0.5</v>
      </c>
      <c r="V236" s="265">
        <f t="shared" si="72"/>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65"/>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69"/>
        <v>1</v>
      </c>
      <c r="Q237" s="242">
        <f t="shared" ca="1" si="66"/>
        <v>0</v>
      </c>
      <c r="R237" s="373"/>
      <c r="S237" s="287" t="s">
        <v>1883</v>
      </c>
      <c r="T237" s="265">
        <v>4.0999999999999996</v>
      </c>
      <c r="U237" s="265">
        <f t="shared" si="67"/>
        <v>0.5</v>
      </c>
      <c r="V237" s="265">
        <f t="shared" si="72"/>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65"/>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69"/>
        <v>1</v>
      </c>
      <c r="Q238" s="242">
        <f t="shared" ca="1" si="66"/>
        <v>0</v>
      </c>
      <c r="R238" s="373"/>
      <c r="S238" s="287" t="s">
        <v>1883</v>
      </c>
      <c r="T238" s="265">
        <v>4.0999999999999996</v>
      </c>
      <c r="U238" s="265">
        <f t="shared" si="67"/>
        <v>0.5</v>
      </c>
      <c r="V238" s="265">
        <f t="shared" si="72"/>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65"/>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69"/>
        <v>1</v>
      </c>
      <c r="Q239" s="242">
        <f t="shared" ca="1" si="66"/>
        <v>0</v>
      </c>
      <c r="R239" s="373"/>
      <c r="S239" s="287" t="s">
        <v>1883</v>
      </c>
      <c r="T239" s="265">
        <v>4.0999999999999996</v>
      </c>
      <c r="U239" s="265">
        <f t="shared" si="67"/>
        <v>0.5</v>
      </c>
      <c r="V239" s="265">
        <f t="shared" si="72"/>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65"/>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69"/>
        <v>1</v>
      </c>
      <c r="Q240" s="242">
        <f t="shared" ca="1" si="66"/>
        <v>0</v>
      </c>
      <c r="R240" s="373"/>
      <c r="S240" s="287" t="s">
        <v>1883</v>
      </c>
      <c r="T240" s="265">
        <v>4.0999999999999996</v>
      </c>
      <c r="U240" s="265">
        <f t="shared" si="67"/>
        <v>0.5</v>
      </c>
      <c r="V240" s="265">
        <f t="shared" si="72"/>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65"/>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69"/>
        <v>1</v>
      </c>
      <c r="Q241" s="242">
        <f t="shared" ca="1" si="66"/>
        <v>0</v>
      </c>
      <c r="R241" s="373"/>
      <c r="S241" s="287" t="s">
        <v>1883</v>
      </c>
      <c r="T241" s="265">
        <v>4.0999999999999996</v>
      </c>
      <c r="U241" s="265">
        <f t="shared" si="67"/>
        <v>0.5</v>
      </c>
      <c r="V241" s="265">
        <f t="shared" si="72"/>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65"/>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69"/>
        <v>1</v>
      </c>
      <c r="Q242" s="242">
        <f t="shared" ca="1" si="66"/>
        <v>0</v>
      </c>
      <c r="R242" s="373"/>
      <c r="S242" s="287" t="s">
        <v>1883</v>
      </c>
      <c r="T242" s="265">
        <v>4.0999999999999996</v>
      </c>
      <c r="U242" s="265">
        <f t="shared" si="67"/>
        <v>0.5</v>
      </c>
      <c r="V242" s="265">
        <f t="shared" si="72"/>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65"/>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69"/>
        <v>1</v>
      </c>
      <c r="Q243" s="242">
        <f t="shared" ca="1" si="66"/>
        <v>0</v>
      </c>
      <c r="R243" s="373"/>
      <c r="S243" s="287" t="s">
        <v>1883</v>
      </c>
      <c r="T243" s="265">
        <v>4.0999999999999996</v>
      </c>
      <c r="U243" s="265">
        <f t="shared" si="67"/>
        <v>0.5</v>
      </c>
      <c r="V243" s="265">
        <f t="shared" si="72"/>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65"/>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69"/>
        <v>1</v>
      </c>
      <c r="Q244" s="242">
        <f t="shared" ca="1" si="66"/>
        <v>0</v>
      </c>
      <c r="R244" s="373"/>
      <c r="S244" s="287" t="s">
        <v>1883</v>
      </c>
      <c r="T244" s="265">
        <v>4.0999999999999996</v>
      </c>
      <c r="U244" s="265">
        <f t="shared" si="67"/>
        <v>0.5</v>
      </c>
      <c r="V244" s="265">
        <f t="shared" si="72"/>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65"/>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69"/>
        <v>1</v>
      </c>
      <c r="Q245" s="242">
        <f t="shared" ca="1" si="66"/>
        <v>0</v>
      </c>
      <c r="R245" s="373"/>
      <c r="S245" s="287" t="s">
        <v>1883</v>
      </c>
      <c r="T245" s="265">
        <v>4.0999999999999996</v>
      </c>
      <c r="U245" s="265">
        <f t="shared" si="67"/>
        <v>0.5</v>
      </c>
      <c r="V245" s="265">
        <f t="shared" si="72"/>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65"/>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69"/>
        <v>1</v>
      </c>
      <c r="Q246" s="242">
        <f t="shared" ca="1" si="66"/>
        <v>0</v>
      </c>
      <c r="R246" s="373"/>
      <c r="S246" s="287" t="s">
        <v>1883</v>
      </c>
      <c r="T246" s="265">
        <v>4.0999999999999996</v>
      </c>
      <c r="U246" s="265">
        <f t="shared" si="67"/>
        <v>0.5</v>
      </c>
      <c r="V246" s="265">
        <f t="shared" si="72"/>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65"/>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69"/>
        <v>1</v>
      </c>
      <c r="Q247" s="242">
        <f t="shared" ca="1" si="66"/>
        <v>0</v>
      </c>
      <c r="R247" s="373"/>
      <c r="S247" s="287" t="s">
        <v>1883</v>
      </c>
      <c r="T247" s="265">
        <v>4.0999999999999996</v>
      </c>
      <c r="U247" s="265">
        <f t="shared" si="67"/>
        <v>0.5</v>
      </c>
      <c r="V247" s="265">
        <f t="shared" si="72"/>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 t="shared" ref="A248" si="73">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t="shared" ref="P248" ca="1" si="74">IF(TODAY()&lt;=L248,0,MIN((TODAY()-L248)/(M248-L248+1),100%))</f>
        <v>1</v>
      </c>
      <c r="Q248" s="242">
        <f t="shared" ref="Q248:Q249" ca="1" si="75">O248-P248</f>
        <v>0</v>
      </c>
      <c r="R248" s="373"/>
      <c r="S248" s="287" t="s">
        <v>1883</v>
      </c>
      <c r="T248" s="265">
        <v>4.0999999999999996</v>
      </c>
      <c r="U248" s="265">
        <f t="shared" ref="U248" si="76">ROUND(T248/8,1)</f>
        <v>0.5</v>
      </c>
      <c r="V248" s="265">
        <f t="shared" ref="V248" si="77">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1935</v>
      </c>
      <c r="G249" s="326">
        <f>COUNTA(G250:G254)</f>
        <v>5</v>
      </c>
      <c r="H249" s="401" t="s">
        <v>572</v>
      </c>
      <c r="I249" s="271" t="s">
        <v>38</v>
      </c>
      <c r="J249" s="272">
        <f>MIN(J250:J268)</f>
        <v>45631</v>
      </c>
      <c r="K249" s="272">
        <f>MIN(K250:K268)</f>
        <v>45639</v>
      </c>
      <c r="L249" s="274" t="e">
        <f>MIN(L250:L268)</f>
        <v>#N/A</v>
      </c>
      <c r="M249" s="274" t="e">
        <f>MAX(M250:M268)</f>
        <v>#N/A</v>
      </c>
      <c r="N249" s="318" t="s">
        <v>1890</v>
      </c>
      <c r="O249" s="309">
        <f>SUMPRODUCT(O250:O268,U250:U268)/SUM(U250:U268)</f>
        <v>1.582278481012658E-2</v>
      </c>
      <c r="P249" s="309">
        <f ca="1">SUMPRODUCT(P250:P268,U250:U268)/SUM(U250:U268)</f>
        <v>0.25316455696202528</v>
      </c>
      <c r="Q249" s="242">
        <f t="shared" ca="1" si="75"/>
        <v>-0.23734177215189869</v>
      </c>
      <c r="R249" s="366" t="s">
        <v>2020</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 t="shared" ref="A250:A254" si="78">E250&amp;G250</f>
        <v>PROPERTY_ENERGY_CERTIFICATEEPC</v>
      </c>
      <c r="B250" s="141" t="s">
        <v>26</v>
      </c>
      <c r="C250" s="137" t="s">
        <v>54</v>
      </c>
      <c r="D250" s="230" t="s">
        <v>40</v>
      </c>
      <c r="E250" s="231" t="s">
        <v>123</v>
      </c>
      <c r="F250" s="231"/>
      <c r="G250" s="327" t="s">
        <v>47</v>
      </c>
      <c r="H250" s="230" t="str">
        <f>VLOOKUP(A250,'2. Status Detalhe Campos FY24'!$A$7:$G$716,7,0)</f>
        <v>6. Em implementação (re-especificação)</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t="shared" ref="P250:P254" ca="1" si="79">IF(TODAY()&lt;=L250,0,MIN((TODAY()-L250)/(M250-L250+1),100%))</f>
        <v>1</v>
      </c>
      <c r="Q250" s="242">
        <f t="shared" ref="Q250:Q254" ca="1" si="80">O250-P250</f>
        <v>-1</v>
      </c>
      <c r="R250" s="373"/>
      <c r="S250" s="287" t="s">
        <v>1883</v>
      </c>
      <c r="T250" s="265">
        <v>4.0999999999999996</v>
      </c>
      <c r="U250" s="265">
        <f t="shared" ref="U250:U254" si="81">ROUND(T250/8,1)</f>
        <v>0.5</v>
      </c>
      <c r="V250" s="265">
        <f t="shared" ref="V250:V254" si="82">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 t="shared" si="78"/>
        <v>PROPERTY_ENERGY_CERTIFICATEEP_SCORE</v>
      </c>
      <c r="B251" s="141" t="s">
        <v>26</v>
      </c>
      <c r="C251" s="137" t="s">
        <v>54</v>
      </c>
      <c r="D251" s="230" t="s">
        <v>40</v>
      </c>
      <c r="E251" s="231" t="s">
        <v>123</v>
      </c>
      <c r="F251" s="231"/>
      <c r="G251" s="327" t="s">
        <v>135</v>
      </c>
      <c r="H251" s="230" t="str">
        <f>VLOOKUP(A251,'2. Status Detalhe Campos FY24'!$A$7:$G$716,7,0)</f>
        <v>6. Em implementação (re-especificação)</v>
      </c>
      <c r="I251" s="271"/>
      <c r="J251" s="280"/>
      <c r="K251" s="280"/>
      <c r="L251" s="285"/>
      <c r="M251" s="286"/>
      <c r="N251" s="286"/>
      <c r="O251" s="243">
        <f>VLOOKUP(H251,Auxiliar!$B$16:$E$24,4,0)</f>
        <v>0</v>
      </c>
      <c r="P251" s="310">
        <f t="shared" ref="P251" ca="1" si="83">IF(TODAY()&lt;=L251,0,MIN((TODAY()-L251)/(M251-L251+1),100%))</f>
        <v>1</v>
      </c>
      <c r="Q251" s="242">
        <f t="shared" ref="Q251" ca="1" si="84">O251-P251</f>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 t="shared" si="78"/>
        <v>PROPERTY_ENERGY_CERTIFICATEENERGY_CONSUMPTION_VALUE_YEAR</v>
      </c>
      <c r="B252" s="141" t="s">
        <v>26</v>
      </c>
      <c r="C252" s="137" t="s">
        <v>54</v>
      </c>
      <c r="D252" s="230" t="s">
        <v>40</v>
      </c>
      <c r="E252" s="231" t="s">
        <v>123</v>
      </c>
      <c r="F252" s="231"/>
      <c r="G252" s="327" t="s">
        <v>51</v>
      </c>
      <c r="H252" s="230" t="str">
        <f>VLOOKUP(A252,'2. Status Detalhe Campos FY24'!$A$7:$G$716,7,0)</f>
        <v>6. Em implementação (re-especificação)</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t="shared" ca="1" si="79"/>
        <v>1</v>
      </c>
      <c r="Q252" s="242">
        <f t="shared" ca="1" si="80"/>
        <v>-1</v>
      </c>
      <c r="R252" s="373"/>
      <c r="S252" s="287" t="s">
        <v>1883</v>
      </c>
      <c r="T252" s="265">
        <v>4.0999999999999996</v>
      </c>
      <c r="U252" s="265">
        <f t="shared" si="81"/>
        <v>0.5</v>
      </c>
      <c r="V252" s="265">
        <f t="shared" si="82"/>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 t="shared" si="78"/>
        <v>PROPERTY_ENERGY_CERTIFICATECARBON_EMISSION_VALUE_YEAR</v>
      </c>
      <c r="B253" s="141" t="s">
        <v>26</v>
      </c>
      <c r="C253" s="137" t="s">
        <v>54</v>
      </c>
      <c r="D253" s="230" t="s">
        <v>40</v>
      </c>
      <c r="E253" s="231" t="s">
        <v>123</v>
      </c>
      <c r="F253" s="231"/>
      <c r="G253" s="327" t="s">
        <v>52</v>
      </c>
      <c r="H253" s="230" t="str">
        <f>VLOOKUP(A253,'2. Status Detalhe Campos FY24'!$A$7:$G$716,7,0)</f>
        <v>6. Em implementação (re-especificação)</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t="shared" ca="1" si="79"/>
        <v>1</v>
      </c>
      <c r="Q253" s="242">
        <f t="shared" ca="1" si="80"/>
        <v>-1</v>
      </c>
      <c r="R253" s="373"/>
      <c r="S253" s="287" t="s">
        <v>1883</v>
      </c>
      <c r="T253" s="265">
        <v>4.0999999999999996</v>
      </c>
      <c r="U253" s="265">
        <f t="shared" si="81"/>
        <v>0.5</v>
      </c>
      <c r="V253" s="265">
        <f t="shared" si="82"/>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 t="shared" si="78"/>
        <v>PROPERTY_ENERGY_CERTIFICATECURRENT_ENERGY_RATING_PERCENTAGE</v>
      </c>
      <c r="B254" s="141" t="s">
        <v>26</v>
      </c>
      <c r="C254" s="137" t="s">
        <v>54</v>
      </c>
      <c r="D254" s="230" t="s">
        <v>40</v>
      </c>
      <c r="E254" s="231" t="s">
        <v>123</v>
      </c>
      <c r="F254" s="231"/>
      <c r="G254" s="327" t="s">
        <v>2002</v>
      </c>
      <c r="H254" s="230" t="str">
        <f>VLOOKUP(A254,'2. Status Detalhe Campos FY24'!$A$7:$G$716,7,0)</f>
        <v>2.1 Em Teste</v>
      </c>
      <c r="I254" s="271" t="s">
        <v>38</v>
      </c>
      <c r="J254" s="280">
        <v>45638</v>
      </c>
      <c r="K254" s="280">
        <v>45639</v>
      </c>
      <c r="L254" s="285">
        <f t="array" ref="L254">MIN(IF(W254:CI254&gt;0,$W$16:$CI$16))</f>
        <v>45674</v>
      </c>
      <c r="M254" s="286">
        <f t="array" ref="M254">MAX(IF(W254:CI254&gt;0,$W$16:$CI$16))</f>
        <v>45674</v>
      </c>
      <c r="N254" s="286"/>
      <c r="O254" s="243">
        <f>VLOOKUP(H254,Auxiliar!$B$16:$E$24,4,0)</f>
        <v>0.25</v>
      </c>
      <c r="P254" s="310">
        <f t="shared" ca="1" si="79"/>
        <v>1</v>
      </c>
      <c r="Q254" s="242">
        <f t="shared" ca="1" si="80"/>
        <v>-0.75</v>
      </c>
      <c r="R254" s="373"/>
      <c r="S254" s="287" t="s">
        <v>1883</v>
      </c>
      <c r="T254" s="265">
        <v>4.0999999999999996</v>
      </c>
      <c r="U254" s="265">
        <f t="shared" si="81"/>
        <v>0.5</v>
      </c>
      <c r="V254" s="265">
        <f t="shared" si="82"/>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1945</v>
      </c>
      <c r="F255" s="234" t="s">
        <v>1911</v>
      </c>
      <c r="G255" s="403" t="s">
        <v>1890</v>
      </c>
      <c r="H255" s="289" t="s">
        <v>1995</v>
      </c>
      <c r="I255" s="273" t="s">
        <v>38</v>
      </c>
      <c r="J255" s="273">
        <v>45645</v>
      </c>
      <c r="K255" s="271"/>
      <c r="L255" s="274">
        <f t="array" ref="L255">MIN(IF(W255:CI255&gt;0,$W$16:$CI$16))</f>
        <v>45671</v>
      </c>
      <c r="M255" s="305">
        <f t="array" ref="M255">MAX(IF(W255:CI255&gt;0,$W$16:$CI$16))</f>
        <v>45674</v>
      </c>
      <c r="N255" s="318" t="s">
        <v>1890</v>
      </c>
      <c r="O255" s="311">
        <v>0</v>
      </c>
      <c r="P255" s="311">
        <v>0</v>
      </c>
      <c r="Q255" s="242">
        <f>O255-P255</f>
        <v>0</v>
      </c>
      <c r="R255" s="372" t="s">
        <v>2000</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1889</v>
      </c>
      <c r="F256" s="234" t="s">
        <v>1911</v>
      </c>
      <c r="G256" s="250" t="s">
        <v>1890</v>
      </c>
      <c r="H256" s="290" t="s">
        <v>1943</v>
      </c>
      <c r="I256" s="273">
        <v>45574</v>
      </c>
      <c r="J256" s="370">
        <v>45631</v>
      </c>
      <c r="K256" s="271"/>
      <c r="L256" s="274" t="e">
        <f t="array" ref="L256">MIN(IF(W256:CH256&gt;0,$W$16:$CI$16))</f>
        <v>#N/A</v>
      </c>
      <c r="M256" s="305" t="e">
        <f t="array" ref="M256">MAX(IF(W256:CH256&gt;0,$W$16:$CI$16))</f>
        <v>#N/A</v>
      </c>
      <c r="N256" s="318">
        <v>45674</v>
      </c>
      <c r="O256" s="317">
        <v>1</v>
      </c>
      <c r="P256" s="317">
        <v>1</v>
      </c>
      <c r="Q256" s="242">
        <f>O256-P256</f>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1909</v>
      </c>
      <c r="D257" s="133"/>
      <c r="E257" s="236" t="s">
        <v>1891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55"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54" priority="119" operator="greaterThan">
      <formula>0</formula>
    </cfRule>
  </conditionalFormatting>
  <conditionalFormatting sqref="Y6:CI6 Y9:CI10">
    <cfRule type="cellIs" dxfId="153" priority="131" operator="notEqual">
      <formula>0</formula>
    </cfRule>
  </conditionalFormatting>
  <conditionalFormatting sqref="AO50:BT50">
    <cfRule type="cellIs" dxfId="152" priority="121" operator="greaterThan">
      <formula>0</formula>
    </cfRule>
  </conditionalFormatting>
  <conditionalFormatting sqref="AO70:BT73 BU70:CI75 AP74:AT74">
    <cfRule type="cellIs" dxfId="151" priority="76" operator="greaterThan">
      <formula>0</formula>
    </cfRule>
  </conditionalFormatting>
  <conditionalFormatting sqref="AO88:CI88">
    <cfRule type="cellIs" dxfId="150" priority="118" operator="greaterThan">
      <formula>0</formula>
    </cfRule>
  </conditionalFormatting>
  <conditionalFormatting sqref="BB218">
    <cfRule type="cellIs" dxfId="149" priority="84" operator="greaterThan">
      <formula>0</formula>
    </cfRule>
  </conditionalFormatting>
  <conditionalFormatting sqref="BU89:CI90">
    <cfRule type="cellIs" dxfId="148" priority="130" operator="greaterThan">
      <formula>0</formula>
    </cfRule>
  </conditionalFormatting>
  <conditionalFormatting sqref="V84 V86:V87">
    <cfRule type="cellIs" dxfId="147" priority="73" operator="notEqual">
      <formula>0</formula>
    </cfRule>
  </conditionalFormatting>
  <conditionalFormatting sqref="W84:BD84 BF84:CI84 W87:CI87">
    <cfRule type="cellIs" dxfId="146" priority="72" operator="greaterThan">
      <formula>0</formula>
    </cfRule>
  </conditionalFormatting>
  <conditionalFormatting sqref="V85">
    <cfRule type="cellIs" dxfId="145" priority="71" operator="notEqual">
      <formula>0</formula>
    </cfRule>
  </conditionalFormatting>
  <conditionalFormatting sqref="W85:BD85 BF85:CI85">
    <cfRule type="cellIs" dxfId="144" priority="70" operator="greaterThan">
      <formula>0</formula>
    </cfRule>
  </conditionalFormatting>
  <conditionalFormatting sqref="V93">
    <cfRule type="cellIs" dxfId="143" priority="69" operator="notEqual">
      <formula>0</formula>
    </cfRule>
  </conditionalFormatting>
  <conditionalFormatting sqref="W93:BG93 BI93:CI93">
    <cfRule type="cellIs" dxfId="142" priority="68" operator="greaterThan">
      <formula>0</formula>
    </cfRule>
  </conditionalFormatting>
  <conditionalFormatting sqref="V95">
    <cfRule type="cellIs" dxfId="141" priority="67" operator="notEqual">
      <formula>0</formula>
    </cfRule>
  </conditionalFormatting>
  <conditionalFormatting sqref="W95:BD95 BF95:BG95 BI95:CI95">
    <cfRule type="cellIs" dxfId="140" priority="66" operator="greaterThan">
      <formula>0</formula>
    </cfRule>
  </conditionalFormatting>
  <conditionalFormatting sqref="BE84">
    <cfRule type="cellIs" dxfId="139" priority="65" operator="greaterThan">
      <formula>0</formula>
    </cfRule>
  </conditionalFormatting>
  <conditionalFormatting sqref="BE85">
    <cfRule type="cellIs" dxfId="138" priority="64" operator="greaterThan">
      <formula>0</formula>
    </cfRule>
  </conditionalFormatting>
  <conditionalFormatting sqref="BE95">
    <cfRule type="cellIs" dxfId="137" priority="63" operator="greaterThan">
      <formula>0</formula>
    </cfRule>
  </conditionalFormatting>
  <conditionalFormatting sqref="BH93">
    <cfRule type="cellIs" dxfId="136" priority="62" operator="greaterThan">
      <formula>0</formula>
    </cfRule>
  </conditionalFormatting>
  <conditionalFormatting sqref="BH95">
    <cfRule type="cellIs" dxfId="135" priority="61" operator="greaterThan">
      <formula>0</formula>
    </cfRule>
  </conditionalFormatting>
  <conditionalFormatting sqref="W86:CI86">
    <cfRule type="cellIs" dxfId="134" priority="60" operator="greaterThan">
      <formula>0</formula>
    </cfRule>
  </conditionalFormatting>
  <conditionalFormatting sqref="BH83">
    <cfRule type="cellIs" dxfId="133" priority="59" operator="greaterThan">
      <formula>0</formula>
    </cfRule>
  </conditionalFormatting>
  <conditionalFormatting sqref="W103:BG103 BI103:CI103">
    <cfRule type="cellIs" dxfId="132" priority="57" operator="greaterThan">
      <formula>0</formula>
    </cfRule>
  </conditionalFormatting>
  <conditionalFormatting sqref="V103">
    <cfRule type="cellIs" dxfId="131" priority="58" operator="notEqual">
      <formula>0</formula>
    </cfRule>
  </conditionalFormatting>
  <conditionalFormatting sqref="V105">
    <cfRule type="cellIs" dxfId="130" priority="56" operator="notEqual">
      <formula>0</formula>
    </cfRule>
  </conditionalFormatting>
  <conditionalFormatting sqref="W105:CI105">
    <cfRule type="cellIs" dxfId="129" priority="55" operator="greaterThan">
      <formula>0</formula>
    </cfRule>
  </conditionalFormatting>
  <conditionalFormatting sqref="V102">
    <cfRule type="cellIs" dxfId="128" priority="54" operator="notEqual">
      <formula>0</formula>
    </cfRule>
  </conditionalFormatting>
  <conditionalFormatting sqref="W102:CI102">
    <cfRule type="cellIs" dxfId="127" priority="53" operator="greaterThan">
      <formula>0</formula>
    </cfRule>
  </conditionalFormatting>
  <conditionalFormatting sqref="V104">
    <cfRule type="cellIs" dxfId="126" priority="52" operator="notEqual">
      <formula>0</formula>
    </cfRule>
  </conditionalFormatting>
  <conditionalFormatting sqref="W104:CI104">
    <cfRule type="cellIs" dxfId="125" priority="51" operator="greaterThan">
      <formula>0</formula>
    </cfRule>
  </conditionalFormatting>
  <conditionalFormatting sqref="BH103">
    <cfRule type="cellIs" dxfId="124" priority="50" operator="greaterThan">
      <formula>0</formula>
    </cfRule>
  </conditionalFormatting>
  <conditionalFormatting sqref="V137:V138">
    <cfRule type="cellIs" dxfId="123" priority="49" operator="notEqual">
      <formula>0</formula>
    </cfRule>
  </conditionalFormatting>
  <conditionalFormatting sqref="W137:CI138">
    <cfRule type="cellIs" dxfId="122" priority="48" operator="greaterThan">
      <formula>0</formula>
    </cfRule>
  </conditionalFormatting>
  <conditionalFormatting sqref="V136">
    <cfRule type="cellIs" dxfId="121" priority="47" operator="notEqual">
      <formula>0</formula>
    </cfRule>
  </conditionalFormatting>
  <conditionalFormatting sqref="W136:CI136">
    <cfRule type="cellIs" dxfId="120" priority="46" operator="greaterThan">
      <formula>0</formula>
    </cfRule>
  </conditionalFormatting>
  <conditionalFormatting sqref="V133:V134">
    <cfRule type="cellIs" dxfId="119" priority="45" operator="notEqual">
      <formula>0</formula>
    </cfRule>
  </conditionalFormatting>
  <conditionalFormatting sqref="W133:CI134">
    <cfRule type="cellIs" dxfId="118" priority="44" operator="greaterThan">
      <formula>0</formula>
    </cfRule>
  </conditionalFormatting>
  <conditionalFormatting sqref="V132">
    <cfRule type="cellIs" dxfId="117" priority="43" operator="notEqual">
      <formula>0</formula>
    </cfRule>
  </conditionalFormatting>
  <conditionalFormatting sqref="W132:CI132">
    <cfRule type="cellIs" dxfId="116" priority="42" operator="greaterThan">
      <formula>0</formula>
    </cfRule>
  </conditionalFormatting>
  <conditionalFormatting sqref="BM83">
    <cfRule type="cellIs" dxfId="115" priority="41" operator="greaterThan">
      <formula>0</formula>
    </cfRule>
  </conditionalFormatting>
  <conditionalFormatting sqref="CB83">
    <cfRule type="cellIs" dxfId="114" priority="40" operator="greaterThan">
      <formula>0</formula>
    </cfRule>
  </conditionalFormatting>
  <conditionalFormatting sqref="V165">
    <cfRule type="cellIs" dxfId="113" priority="39" operator="notEqual">
      <formula>0</formula>
    </cfRule>
  </conditionalFormatting>
  <conditionalFormatting sqref="W165:CI165">
    <cfRule type="cellIs" dxfId="112" priority="38" operator="greaterThan">
      <formula>0</formula>
    </cfRule>
  </conditionalFormatting>
  <conditionalFormatting sqref="V141">
    <cfRule type="cellIs" dxfId="111" priority="36" operator="notEqual">
      <formula>0</formula>
    </cfRule>
  </conditionalFormatting>
  <conditionalFormatting sqref="W141:CA141">
    <cfRule type="cellIs" dxfId="110" priority="35" operator="greaterThan">
      <formula>0</formula>
    </cfRule>
  </conditionalFormatting>
  <conditionalFormatting sqref="CG148:CG159">
    <cfRule type="cellIs" dxfId="109" priority="34" operator="greaterThan">
      <formula>0</formula>
    </cfRule>
  </conditionalFormatting>
  <conditionalFormatting sqref="V169">
    <cfRule type="cellIs" dxfId="108" priority="33" operator="notEqual">
      <formula>0</formula>
    </cfRule>
  </conditionalFormatting>
  <conditionalFormatting sqref="W169:CI169">
    <cfRule type="cellIs" dxfId="107" priority="32" operator="greaterThan">
      <formula>0</formula>
    </cfRule>
  </conditionalFormatting>
  <conditionalFormatting sqref="CH144:CI144">
    <cfRule type="cellIs" dxfId="106" priority="29" operator="greaterThan">
      <formula>0</formula>
    </cfRule>
  </conditionalFormatting>
  <conditionalFormatting sqref="V144">
    <cfRule type="cellIs" dxfId="105" priority="28" operator="notEqual">
      <formula>0</formula>
    </cfRule>
  </conditionalFormatting>
  <conditionalFormatting sqref="W144:CA144">
    <cfRule type="cellIs" dxfId="104" priority="27" operator="greaterThan">
      <formula>0</formula>
    </cfRule>
  </conditionalFormatting>
  <conditionalFormatting sqref="V145:V146">
    <cfRule type="cellIs" dxfId="103" priority="25" operator="notEqual">
      <formula>0</formula>
    </cfRule>
  </conditionalFormatting>
  <conditionalFormatting sqref="W146:CF146 CH145:CI146 CC145:CF145 W145:CA145">
    <cfRule type="cellIs" dxfId="102" priority="24" operator="greaterThan">
      <formula>0</formula>
    </cfRule>
  </conditionalFormatting>
  <conditionalFormatting sqref="CG145:CG146">
    <cfRule type="cellIs" dxfId="101" priority="23" operator="greaterThan">
      <formula>0</formula>
    </cfRule>
  </conditionalFormatting>
  <conditionalFormatting sqref="V147">
    <cfRule type="cellIs" dxfId="100" priority="22" operator="notEqual">
      <formula>0</formula>
    </cfRule>
  </conditionalFormatting>
  <conditionalFormatting sqref="W147:CI147">
    <cfRule type="cellIs" dxfId="99" priority="21" operator="greaterThan">
      <formula>0</formula>
    </cfRule>
  </conditionalFormatting>
  <conditionalFormatting sqref="CB145">
    <cfRule type="cellIs" dxfId="98" priority="20" operator="greaterThan">
      <formula>0</formula>
    </cfRule>
  </conditionalFormatting>
  <conditionalFormatting sqref="V130">
    <cfRule type="cellIs" dxfId="97" priority="19" operator="notEqual">
      <formula>0</formula>
    </cfRule>
  </conditionalFormatting>
  <conditionalFormatting sqref="W130:CI130">
    <cfRule type="cellIs" dxfId="96" priority="18" operator="greaterThan">
      <formula>0</formula>
    </cfRule>
  </conditionalFormatting>
  <conditionalFormatting sqref="V131">
    <cfRule type="cellIs" dxfId="95" priority="17" operator="notEqual">
      <formula>0</formula>
    </cfRule>
  </conditionalFormatting>
  <conditionalFormatting sqref="W131:CI131">
    <cfRule type="cellIs" dxfId="94" priority="16" operator="greaterThan">
      <formula>0</formula>
    </cfRule>
  </conditionalFormatting>
  <conditionalFormatting sqref="V248">
    <cfRule type="cellIs" dxfId="93" priority="15" operator="notEqual">
      <formula>0</formula>
    </cfRule>
  </conditionalFormatting>
  <conditionalFormatting sqref="W248:CI248">
    <cfRule type="cellIs" dxfId="92" priority="14" operator="greaterThan">
      <formula>0</formula>
    </cfRule>
  </conditionalFormatting>
  <conditionalFormatting sqref="V171">
    <cfRule type="cellIs" dxfId="91" priority="11" operator="notEqual">
      <formula>0</formula>
    </cfRule>
  </conditionalFormatting>
  <conditionalFormatting sqref="W171:CI171">
    <cfRule type="cellIs" dxfId="90" priority="10" operator="greaterThan">
      <formula>0</formula>
    </cfRule>
  </conditionalFormatting>
  <conditionalFormatting sqref="V250:V251">
    <cfRule type="cellIs" dxfId="89" priority="9" operator="notEqual">
      <formula>0</formula>
    </cfRule>
  </conditionalFormatting>
  <conditionalFormatting sqref="W250:CI251">
    <cfRule type="cellIs" dxfId="88" priority="8" operator="greaterThan">
      <formula>0</formula>
    </cfRule>
  </conditionalFormatting>
  <conditionalFormatting sqref="V252:V253">
    <cfRule type="cellIs" dxfId="87" priority="7" operator="notEqual">
      <formula>0</formula>
    </cfRule>
  </conditionalFormatting>
  <conditionalFormatting sqref="W252:CI253">
    <cfRule type="cellIs" dxfId="86" priority="6" operator="greaterThan">
      <formula>0</formula>
    </cfRule>
  </conditionalFormatting>
  <conditionalFormatting sqref="V254">
    <cfRule type="cellIs" dxfId="85" priority="5" operator="notEqual">
      <formula>0</formula>
    </cfRule>
  </conditionalFormatting>
  <conditionalFormatting sqref="W254:CF254 CH254:CI254">
    <cfRule type="cellIs" dxfId="84" priority="4" operator="greaterThan">
      <formula>0</formula>
    </cfRule>
  </conditionalFormatting>
  <conditionalFormatting sqref="CG254">
    <cfRule type="cellIs" dxfId="83" priority="3" operator="greaterThan">
      <formula>0</formula>
    </cfRule>
  </conditionalFormatting>
  <conditionalFormatting sqref="V249">
    <cfRule type="cellIs" dxfId="82" priority="2" operator="notEqual">
      <formula>0</formula>
    </cfRule>
  </conditionalFormatting>
  <conditionalFormatting sqref="W249:CI249">
    <cfRule type="cellIs" dxfId="81"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F708" sqref="F708:F714"/>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7" width="34" bestFit="1" customWidth="1"/>
    <col min="8" max="8" width="14.59765625" customWidth="1"/>
    <col min="9" max="9" width="16.69921875" style="25" customWidth="1"/>
    <col min="10" max="10" width="11" style="25" customWidth="1"/>
    <col min="11" max="11" width="15.69921875" style="25" customWidth="1"/>
    <col min="12" max="12" width="14.19921875" style="25" customWidth="1"/>
    <col min="13" max="13" width="17.19921875" style="117" bestFit="1" customWidth="1"/>
    <col min="14" max="14" width="13.19921875" style="117" bestFit="1" customWidth="1"/>
    <col min="15" max="15" width="13.19921875" style="117"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5" customFormat="1">
      <c r="AK1" s="117"/>
    </row>
    <row r="2" spans="1:150" s="25" customFormat="1"/>
    <row r="3" spans="1:150" s="25" customFormat="1"/>
    <row r="4" spans="1:150" s="25" customFormat="1" ht="4.9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7"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199999999999999"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1876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199999999999999"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6. Em implementação (re-especificação)</v>
      </c>
      <c r="H26" s="64">
        <f>VLOOKUP(A26,'Aux - pivots1'!$A:$B,2,0)</f>
        <v>7</v>
      </c>
      <c r="I26" s="186">
        <f>SUMIFS(Table1[Estimação (horas)],Table1[Tabela],Plano_V3!E26,Table1[Campo],Plano_V3!F26)</f>
        <v>8</v>
      </c>
      <c r="J26" s="186">
        <f t="shared" ref="J26:L64" si="14">I26/8</f>
        <v>1</v>
      </c>
      <c r="K26" s="186">
        <f>SUMIFS(Table1[Horas efetivas],Table1[Tabela],Plano_V3!E26,Table1[Campo],Plano_V3!F26)</f>
        <v>2</v>
      </c>
      <c r="L26" s="186">
        <f t="shared" si="14"/>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5">E27&amp;F27</f>
        <v>ENERGY_CERTIFICATE_EST_INPUTCHAVE_GLOVAL</v>
      </c>
      <c r="B27" s="67"/>
      <c r="C27" s="68"/>
      <c r="D27" s="64" t="s">
        <v>40</v>
      </c>
      <c r="E27" s="66" t="s">
        <v>37</v>
      </c>
      <c r="F27" s="66" t="s">
        <v>2021</v>
      </c>
      <c r="G27" s="64" t="str">
        <f>INDEX(Auxiliar!$B$16:$B$24,MATCH(Plano_V3!H27,Auxiliar!$C$16:$C$24,0),1)</f>
        <v>6. Em implementação (re-especificação)</v>
      </c>
      <c r="H27" s="64">
        <f>VLOOKUP(A27,'Aux - pivots1'!$A:$B,2,0)</f>
        <v>7</v>
      </c>
      <c r="I27" s="186" t="e">
        <f>SUMIFS(Table1[Estimação (horas)],Table1[Tabela],Plano_V3!E27,Table1[Campo],Plano_V3!F27)</f>
        <v>#N/A</v>
      </c>
      <c r="J27" s="186" t="e">
        <f t="shared" ref="J27:J52" si="16">I27/8</f>
        <v>#N/A</v>
      </c>
      <c r="K27" s="186" t="e">
        <f>SUMIFS(Table1[Horas efetivas],Table1[Tabela],Plano_V3!E27,Table1[Campo],Plano_V3!F27)</f>
        <v>#N/A</v>
      </c>
      <c r="L27" s="186" t="e">
        <f t="shared" ref="L27:L52" si="17">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5"/>
        <v>ENERGY_CERTIFICATE_EST_INPUTPROPERTY_BANK_ID</v>
      </c>
      <c r="B28" s="67"/>
      <c r="C28" s="68"/>
      <c r="D28" s="64" t="s">
        <v>40</v>
      </c>
      <c r="E28" s="66" t="s">
        <v>37</v>
      </c>
      <c r="F28" s="66" t="s">
        <v>41</v>
      </c>
      <c r="G28" s="64" t="str">
        <f>INDEX(Auxiliar!$B$16:$B$24,MATCH(Plano_V3!H28,Auxiliar!$C$16:$C$24,0),1)</f>
        <v>6. Em implementação (re-especificação)</v>
      </c>
      <c r="H28" s="64">
        <f>VLOOKUP(A28,'Aux - pivots1'!$A:$B,2,0)</f>
        <v>7</v>
      </c>
      <c r="I28" s="186" t="e">
        <f>SUMIFS(Table1[Estimação (horas)],Table1[Tabela],Plano_V3!E28,Table1[Campo],Plano_V3!F28)</f>
        <v>#N/A</v>
      </c>
      <c r="J28" s="186" t="e">
        <f t="shared" si="16"/>
        <v>#N/A</v>
      </c>
      <c r="K28" s="186" t="e">
        <f>SUMIFS(Table1[Horas efetivas],Table1[Tabela],Plano_V3!E28,Table1[Campo],Plano_V3!F28)</f>
        <v>#N/A</v>
      </c>
      <c r="L28" s="186" t="e">
        <f t="shared" si="17"/>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5"/>
        <v>ENERGY_CERTIFICATE_EST_INPUTPROPERTY_BRANCH_CODE</v>
      </c>
      <c r="B29" s="67"/>
      <c r="C29" s="68"/>
      <c r="D29" s="64" t="s">
        <v>40</v>
      </c>
      <c r="E29" s="66" t="s">
        <v>37</v>
      </c>
      <c r="F29" s="66" t="s">
        <v>43</v>
      </c>
      <c r="G29" s="64" t="str">
        <f>INDEX(Auxiliar!$B$16:$B$24,MATCH(Plano_V3!H29,Auxiliar!$C$16:$C$24,0),1)</f>
        <v>6. Em implementação (re-especificação)</v>
      </c>
      <c r="H29" s="64">
        <f>VLOOKUP(A29,'Aux - pivots1'!$A:$B,2,0)</f>
        <v>7</v>
      </c>
      <c r="I29" s="186" t="e">
        <f>SUMIFS(Table1[Estimação (horas)],Table1[Tabela],Plano_V3!E29,Table1[Campo],Plano_V3!F29)</f>
        <v>#N/A</v>
      </c>
      <c r="J29" s="186" t="e">
        <f t="shared" si="16"/>
        <v>#N/A</v>
      </c>
      <c r="K29" s="186" t="e">
        <f>SUMIFS(Table1[Horas efetivas],Table1[Tabela],Plano_V3!E29,Table1[Campo],Plano_V3!F29)</f>
        <v>#N/A</v>
      </c>
      <c r="L29" s="186" t="e">
        <f t="shared" si="17"/>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5"/>
        <v>ENERGY_CERTIFICATE_EST_INPUTPROPERTY_CONTRACT_ID</v>
      </c>
      <c r="B30" s="67"/>
      <c r="C30" s="68"/>
      <c r="D30" s="64" t="s">
        <v>40</v>
      </c>
      <c r="E30" s="66" t="s">
        <v>37</v>
      </c>
      <c r="F30" s="66" t="s">
        <v>44</v>
      </c>
      <c r="G30" s="64" t="str">
        <f>INDEX(Auxiliar!$B$16:$B$24,MATCH(Plano_V3!H30,Auxiliar!$C$16:$C$24,0),1)</f>
        <v>6. Em implementação (re-especificação)</v>
      </c>
      <c r="H30" s="64">
        <f>VLOOKUP(A30,'Aux - pivots1'!$A:$B,2,0)</f>
        <v>7</v>
      </c>
      <c r="I30" s="186" t="e">
        <f>SUMIFS(Table1[Estimação (horas)],Table1[Tabela],Plano_V3!E30,Table1[Campo],Plano_V3!F30)</f>
        <v>#N/A</v>
      </c>
      <c r="J30" s="186" t="e">
        <f t="shared" si="16"/>
        <v>#N/A</v>
      </c>
      <c r="K30" s="186" t="e">
        <f>SUMIFS(Table1[Horas efetivas],Table1[Tabela],Plano_V3!E30,Table1[Campo],Plano_V3!F30)</f>
        <v>#N/A</v>
      </c>
      <c r="L30" s="186" t="e">
        <f t="shared" si="17"/>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5"/>
        <v>ENERGY_CERTIFICATE_EST_INPUTPROPERTY_REFERENCE_CODE</v>
      </c>
      <c r="B31" s="67"/>
      <c r="C31" s="68"/>
      <c r="D31" s="64" t="s">
        <v>40</v>
      </c>
      <c r="E31" s="66" t="s">
        <v>37</v>
      </c>
      <c r="F31" s="66" t="s">
        <v>45</v>
      </c>
      <c r="G31" s="64" t="str">
        <f>INDEX(Auxiliar!$B$16:$B$24,MATCH(Plano_V3!H31,Auxiliar!$C$16:$C$24,0),1)</f>
        <v>6. Em implementação (re-especificação)</v>
      </c>
      <c r="H31" s="64">
        <f>VLOOKUP(A31,'Aux - pivots1'!$A:$B,2,0)</f>
        <v>7</v>
      </c>
      <c r="I31" s="186" t="e">
        <f>SUMIFS(Table1[Estimação (horas)],Table1[Tabela],Plano_V3!E31,Table1[Campo],Plano_V3!F31)</f>
        <v>#N/A</v>
      </c>
      <c r="J31" s="186" t="e">
        <f t="shared" si="16"/>
        <v>#N/A</v>
      </c>
      <c r="K31" s="186" t="e">
        <f>SUMIFS(Table1[Horas efetivas],Table1[Tabela],Plano_V3!E31,Table1[Campo],Plano_V3!F31)</f>
        <v>#N/A</v>
      </c>
      <c r="L31" s="186" t="e">
        <f t="shared" si="17"/>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5"/>
        <v>ENERGY_CERTIFICATE_EST_INPUTCÓDIGO_DISTRITO</v>
      </c>
      <c r="B32" s="67"/>
      <c r="C32" s="68"/>
      <c r="D32" s="64" t="s">
        <v>40</v>
      </c>
      <c r="E32" s="66" t="s">
        <v>37</v>
      </c>
      <c r="F32" s="66" t="s">
        <v>2022</v>
      </c>
      <c r="G32" s="64" t="str">
        <f>INDEX(Auxiliar!$B$16:$B$24,MATCH(Plano_V3!H32,Auxiliar!$C$16:$C$24,0),1)</f>
        <v>6. Em implementação (re-especificação)</v>
      </c>
      <c r="H32" s="64">
        <f>VLOOKUP(A32,'Aux - pivots1'!$A:$B,2,0)</f>
        <v>7</v>
      </c>
      <c r="I32" s="186" t="e">
        <f>SUMIFS(Table1[Estimação (horas)],Table1[Tabela],Plano_V3!E32,Table1[Campo],Plano_V3!F32)</f>
        <v>#N/A</v>
      </c>
      <c r="J32" s="186" t="e">
        <f t="shared" si="16"/>
        <v>#N/A</v>
      </c>
      <c r="K32" s="186" t="e">
        <f>SUMIFS(Table1[Horas efetivas],Table1[Tabela],Plano_V3!E32,Table1[Campo],Plano_V3!F32)</f>
        <v>#N/A</v>
      </c>
      <c r="L32" s="186" t="e">
        <f t="shared" si="17"/>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5"/>
        <v>ENERGY_CERTIFICATE_EST_INPUTNOMBRE_DISTRITO</v>
      </c>
      <c r="B33" s="67"/>
      <c r="C33" s="68"/>
      <c r="D33" s="64" t="s">
        <v>40</v>
      </c>
      <c r="E33" s="66" t="s">
        <v>37</v>
      </c>
      <c r="F33" s="66" t="s">
        <v>2023</v>
      </c>
      <c r="G33" s="64" t="str">
        <f>INDEX(Auxiliar!$B$16:$B$24,MATCH(Plano_V3!H33,Auxiliar!$C$16:$C$24,0),1)</f>
        <v>6. Em implementação (re-especificação)</v>
      </c>
      <c r="H33" s="64">
        <f>VLOOKUP(A33,'Aux - pivots1'!$A:$B,2,0)</f>
        <v>7</v>
      </c>
      <c r="I33" s="186" t="e">
        <f>SUMIFS(Table1[Estimação (horas)],Table1[Tabela],Plano_V3!E33,Table1[Campo],Plano_V3!F33)</f>
        <v>#N/A</v>
      </c>
      <c r="J33" s="186" t="e">
        <f t="shared" si="16"/>
        <v>#N/A</v>
      </c>
      <c r="K33" s="186" t="e">
        <f>SUMIFS(Table1[Horas efetivas],Table1[Tabela],Plano_V3!E33,Table1[Campo],Plano_V3!F33)</f>
        <v>#N/A</v>
      </c>
      <c r="L33" s="186" t="e">
        <f t="shared" si="17"/>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5"/>
        <v>ENERGY_CERTIFICATE_EST_INPUTCÓDIGO_CONCEJO</v>
      </c>
      <c r="B34" s="67"/>
      <c r="C34" s="68"/>
      <c r="D34" s="64" t="s">
        <v>40</v>
      </c>
      <c r="E34" s="66" t="s">
        <v>37</v>
      </c>
      <c r="F34" s="66" t="s">
        <v>2024</v>
      </c>
      <c r="G34" s="64" t="str">
        <f>INDEX(Auxiliar!$B$16:$B$24,MATCH(Plano_V3!H34,Auxiliar!$C$16:$C$24,0),1)</f>
        <v>6. Em implementação (re-especificação)</v>
      </c>
      <c r="H34" s="64">
        <f>VLOOKUP(A34,'Aux - pivots1'!$A:$B,2,0)</f>
        <v>7</v>
      </c>
      <c r="I34" s="186" t="e">
        <f>SUMIFS(Table1[Estimação (horas)],Table1[Tabela],Plano_V3!E34,Table1[Campo],Plano_V3!F34)</f>
        <v>#N/A</v>
      </c>
      <c r="J34" s="186" t="e">
        <f t="shared" si="16"/>
        <v>#N/A</v>
      </c>
      <c r="K34" s="186" t="e">
        <f>SUMIFS(Table1[Horas efetivas],Table1[Tabela],Plano_V3!E34,Table1[Campo],Plano_V3!F34)</f>
        <v>#N/A</v>
      </c>
      <c r="L34" s="186" t="e">
        <f t="shared" si="17"/>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5"/>
        <v>ENERGY_CERTIFICATE_EST_INPUTNOMBRE_CONCEJO</v>
      </c>
      <c r="B35" s="67"/>
      <c r="C35" s="68"/>
      <c r="D35" s="64" t="s">
        <v>40</v>
      </c>
      <c r="E35" s="66" t="s">
        <v>37</v>
      </c>
      <c r="F35" s="66" t="s">
        <v>2025</v>
      </c>
      <c r="G35" s="64" t="str">
        <f>INDEX(Auxiliar!$B$16:$B$24,MATCH(Plano_V3!H35,Auxiliar!$C$16:$C$24,0),1)</f>
        <v>6. Em implementação (re-especificação)</v>
      </c>
      <c r="H35" s="64">
        <f>VLOOKUP(A35,'Aux - pivots1'!$A:$B,2,0)</f>
        <v>7</v>
      </c>
      <c r="I35" s="186" t="e">
        <f>SUMIFS(Table1[Estimação (horas)],Table1[Tabela],Plano_V3!E35,Table1[Campo],Plano_V3!F35)</f>
        <v>#N/A</v>
      </c>
      <c r="J35" s="186" t="e">
        <f t="shared" si="16"/>
        <v>#N/A</v>
      </c>
      <c r="K35" s="186" t="e">
        <f>SUMIFS(Table1[Horas efetivas],Table1[Tabela],Plano_V3!E35,Table1[Campo],Plano_V3!F35)</f>
        <v>#N/A</v>
      </c>
      <c r="L35" s="186" t="e">
        <f t="shared" si="17"/>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5"/>
        <v>ENERGY_CERTIFICATE_EST_INPUTCÓDIGO_FREGUESIA</v>
      </c>
      <c r="B36" s="67"/>
      <c r="C36" s="68"/>
      <c r="D36" s="64" t="s">
        <v>40</v>
      </c>
      <c r="E36" s="66" t="s">
        <v>37</v>
      </c>
      <c r="F36" s="66" t="s">
        <v>2026</v>
      </c>
      <c r="G36" s="64" t="str">
        <f>INDEX(Auxiliar!$B$16:$B$24,MATCH(Plano_V3!H36,Auxiliar!$C$16:$C$24,0),1)</f>
        <v>6. Em implementação (re-especificação)</v>
      </c>
      <c r="H36" s="64">
        <f>VLOOKUP(A36,'Aux - pivots1'!$A:$B,2,0)</f>
        <v>7</v>
      </c>
      <c r="I36" s="186" t="e">
        <f>SUMIFS(Table1[Estimação (horas)],Table1[Tabela],Plano_V3!E36,Table1[Campo],Plano_V3!F36)</f>
        <v>#N/A</v>
      </c>
      <c r="J36" s="186" t="e">
        <f t="shared" si="16"/>
        <v>#N/A</v>
      </c>
      <c r="K36" s="186" t="e">
        <f>SUMIFS(Table1[Horas efetivas],Table1[Tabela],Plano_V3!E36,Table1[Campo],Plano_V3!F36)</f>
        <v>#N/A</v>
      </c>
      <c r="L36" s="186" t="e">
        <f t="shared" si="17"/>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5"/>
        <v>ENERGY_CERTIFICATE_EST_INPUTNOMBRE_FREGUESIA</v>
      </c>
      <c r="B37" s="67"/>
      <c r="C37" s="68"/>
      <c r="D37" s="64" t="s">
        <v>40</v>
      </c>
      <c r="E37" s="66" t="s">
        <v>37</v>
      </c>
      <c r="F37" s="66" t="s">
        <v>2027</v>
      </c>
      <c r="G37" s="64" t="str">
        <f>INDEX(Auxiliar!$B$16:$B$24,MATCH(Plano_V3!H37,Auxiliar!$C$16:$C$24,0),1)</f>
        <v>6. Em implementação (re-especificação)</v>
      </c>
      <c r="H37" s="64">
        <f>VLOOKUP(A37,'Aux - pivots1'!$A:$B,2,0)</f>
        <v>7</v>
      </c>
      <c r="I37" s="186" t="e">
        <f>SUMIFS(Table1[Estimação (horas)],Table1[Tabela],Plano_V3!E37,Table1[Campo],Plano_V3!F37)</f>
        <v>#N/A</v>
      </c>
      <c r="J37" s="186" t="e">
        <f t="shared" si="16"/>
        <v>#N/A</v>
      </c>
      <c r="K37" s="186" t="e">
        <f>SUMIFS(Table1[Horas efetivas],Table1[Tabela],Plano_V3!E37,Table1[Campo],Plano_V3!F37)</f>
        <v>#N/A</v>
      </c>
      <c r="L37" s="186" t="e">
        <f t="shared" si="17"/>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5"/>
        <v>ENERGY_CERTIFICATE_EST_INPUTLOCALIDADE</v>
      </c>
      <c r="B38" s="67"/>
      <c r="C38" s="68"/>
      <c r="D38" s="64" t="s">
        <v>40</v>
      </c>
      <c r="E38" s="66" t="s">
        <v>37</v>
      </c>
      <c r="F38" s="66" t="s">
        <v>2028</v>
      </c>
      <c r="G38" s="64" t="str">
        <f>INDEX(Auxiliar!$B$16:$B$24,MATCH(Plano_V3!H38,Auxiliar!$C$16:$C$24,0),1)</f>
        <v>6. Em implementação (re-especificação)</v>
      </c>
      <c r="H38" s="64">
        <f>VLOOKUP(A38,'Aux - pivots1'!$A:$B,2,0)</f>
        <v>7</v>
      </c>
      <c r="I38" s="186" t="e">
        <f>SUMIFS(Table1[Estimação (horas)],Table1[Tabela],Plano_V3!E38,Table1[Campo],Plano_V3!F38)</f>
        <v>#N/A</v>
      </c>
      <c r="J38" s="186" t="e">
        <f t="shared" si="16"/>
        <v>#N/A</v>
      </c>
      <c r="K38" s="186" t="e">
        <f>SUMIFS(Table1[Horas efetivas],Table1[Tabela],Plano_V3!E38,Table1[Campo],Plano_V3!F38)</f>
        <v>#N/A</v>
      </c>
      <c r="L38" s="186" t="e">
        <f t="shared" si="17"/>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5"/>
        <v>ENERGY_CERTIFICATE_EST_INPUTTIPO_VIA</v>
      </c>
      <c r="B39" s="67"/>
      <c r="C39" s="68"/>
      <c r="D39" s="64" t="s">
        <v>40</v>
      </c>
      <c r="E39" s="66" t="s">
        <v>37</v>
      </c>
      <c r="F39" s="66" t="s">
        <v>2029</v>
      </c>
      <c r="G39" s="64" t="str">
        <f>INDEX(Auxiliar!$B$16:$B$24,MATCH(Plano_V3!H39,Auxiliar!$C$16:$C$24,0),1)</f>
        <v>6. Em implementação (re-especificação)</v>
      </c>
      <c r="H39" s="64">
        <f>VLOOKUP(A39,'Aux - pivots1'!$A:$B,2,0)</f>
        <v>7</v>
      </c>
      <c r="I39" s="186" t="e">
        <f>SUMIFS(Table1[Estimação (horas)],Table1[Tabela],Plano_V3!E39,Table1[Campo],Plano_V3!F39)</f>
        <v>#N/A</v>
      </c>
      <c r="J39" s="186" t="e">
        <f t="shared" si="16"/>
        <v>#N/A</v>
      </c>
      <c r="K39" s="186" t="e">
        <f>SUMIFS(Table1[Horas efetivas],Table1[Tabela],Plano_V3!E39,Table1[Campo],Plano_V3!F39)</f>
        <v>#N/A</v>
      </c>
      <c r="L39" s="186" t="e">
        <f t="shared" si="17"/>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5"/>
        <v>ENERGY_CERTIFICATE_EST_INPUTNOMBRE_TIPO_VIA</v>
      </c>
      <c r="B40" s="67"/>
      <c r="C40" s="68"/>
      <c r="D40" s="64" t="s">
        <v>40</v>
      </c>
      <c r="E40" s="66" t="s">
        <v>37</v>
      </c>
      <c r="F40" s="66" t="s">
        <v>2030</v>
      </c>
      <c r="G40" s="64" t="str">
        <f>INDEX(Auxiliar!$B$16:$B$24,MATCH(Plano_V3!H40,Auxiliar!$C$16:$C$24,0),1)</f>
        <v>6. Em implementação (re-especificação)</v>
      </c>
      <c r="H40" s="64">
        <f>VLOOKUP(A40,'Aux - pivots1'!$A:$B,2,0)</f>
        <v>7</v>
      </c>
      <c r="I40" s="186" t="e">
        <f>SUMIFS(Table1[Estimação (horas)],Table1[Tabela],Plano_V3!E40,Table1[Campo],Plano_V3!F40)</f>
        <v>#N/A</v>
      </c>
      <c r="J40" s="186" t="e">
        <f t="shared" si="16"/>
        <v>#N/A</v>
      </c>
      <c r="K40" s="186" t="e">
        <f>SUMIFS(Table1[Horas efetivas],Table1[Tabela],Plano_V3!E40,Table1[Campo],Plano_V3!F40)</f>
        <v>#N/A</v>
      </c>
      <c r="L40" s="186" t="e">
        <f t="shared" si="17"/>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5"/>
        <v>ENERGY_CERTIFICATE_EST_INPUTNOMBRE_VIA</v>
      </c>
      <c r="B41" s="67"/>
      <c r="C41" s="68"/>
      <c r="D41" s="64" t="s">
        <v>40</v>
      </c>
      <c r="E41" s="66" t="s">
        <v>37</v>
      </c>
      <c r="F41" s="66" t="s">
        <v>2031</v>
      </c>
      <c r="G41" s="64" t="str">
        <f>INDEX(Auxiliar!$B$16:$B$24,MATCH(Plano_V3!H41,Auxiliar!$C$16:$C$24,0),1)</f>
        <v>6. Em implementação (re-especificação)</v>
      </c>
      <c r="H41" s="64">
        <f>VLOOKUP(A41,'Aux - pivots1'!$A:$B,2,0)</f>
        <v>7</v>
      </c>
      <c r="I41" s="186" t="e">
        <f>SUMIFS(Table1[Estimação (horas)],Table1[Tabela],Plano_V3!E41,Table1[Campo],Plano_V3!F41)</f>
        <v>#N/A</v>
      </c>
      <c r="J41" s="186" t="e">
        <f t="shared" si="16"/>
        <v>#N/A</v>
      </c>
      <c r="K41" s="186" t="e">
        <f>SUMIFS(Table1[Horas efetivas],Table1[Tabela],Plano_V3!E41,Table1[Campo],Plano_V3!F41)</f>
        <v>#N/A</v>
      </c>
      <c r="L41" s="186" t="e">
        <f t="shared" si="17"/>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5"/>
        <v>ENERGY_CERTIFICATE_EST_INPUTNUMERO_VIA</v>
      </c>
      <c r="B42" s="67"/>
      <c r="C42" s="68"/>
      <c r="D42" s="64" t="s">
        <v>40</v>
      </c>
      <c r="E42" s="66" t="s">
        <v>37</v>
      </c>
      <c r="F42" s="66" t="s">
        <v>2032</v>
      </c>
      <c r="G42" s="64" t="str">
        <f>INDEX(Auxiliar!$B$16:$B$24,MATCH(Plano_V3!H42,Auxiliar!$C$16:$C$24,0),1)</f>
        <v>6. Em implementação (re-especificação)</v>
      </c>
      <c r="H42" s="64">
        <f>VLOOKUP(A42,'Aux - pivots1'!$A:$B,2,0)</f>
        <v>7</v>
      </c>
      <c r="I42" s="186" t="e">
        <f>SUMIFS(Table1[Estimação (horas)],Table1[Tabela],Plano_V3!E42,Table1[Campo],Plano_V3!F42)</f>
        <v>#N/A</v>
      </c>
      <c r="J42" s="186" t="e">
        <f t="shared" si="16"/>
        <v>#N/A</v>
      </c>
      <c r="K42" s="186" t="e">
        <f>SUMIFS(Table1[Horas efetivas],Table1[Tabela],Plano_V3!E42,Table1[Campo],Plano_V3!F42)</f>
        <v>#N/A</v>
      </c>
      <c r="L42" s="186" t="e">
        <f t="shared" si="17"/>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5"/>
        <v>ENERGY_CERTIFICATE_EST_INPUTLOTE</v>
      </c>
      <c r="B43" s="67"/>
      <c r="C43" s="68"/>
      <c r="D43" s="64" t="s">
        <v>40</v>
      </c>
      <c r="E43" s="66" t="s">
        <v>37</v>
      </c>
      <c r="F43" s="66" t="s">
        <v>2033</v>
      </c>
      <c r="G43" s="64" t="str">
        <f>INDEX(Auxiliar!$B$16:$B$24,MATCH(Plano_V3!H43,Auxiliar!$C$16:$C$24,0),1)</f>
        <v>6. Em implementação (re-especificação)</v>
      </c>
      <c r="H43" s="64">
        <f>VLOOKUP(A43,'Aux - pivots1'!$A:$B,2,0)</f>
        <v>7</v>
      </c>
      <c r="I43" s="186" t="e">
        <f>SUMIFS(Table1[Estimação (horas)],Table1[Tabela],Plano_V3!E43,Table1[Campo],Plano_V3!F43)</f>
        <v>#N/A</v>
      </c>
      <c r="J43" s="186" t="e">
        <f t="shared" si="16"/>
        <v>#N/A</v>
      </c>
      <c r="K43" s="186" t="e">
        <f>SUMIFS(Table1[Horas efetivas],Table1[Tabela],Plano_V3!E43,Table1[Campo],Plano_V3!F43)</f>
        <v>#N/A</v>
      </c>
      <c r="L43" s="186" t="e">
        <f t="shared" si="17"/>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5"/>
        <v>ENERGY_CERTIFICATE_EST_INPUTURBANIZACION</v>
      </c>
      <c r="B44" s="67"/>
      <c r="C44" s="68"/>
      <c r="D44" s="64" t="s">
        <v>40</v>
      </c>
      <c r="E44" s="66" t="s">
        <v>37</v>
      </c>
      <c r="F44" s="66" t="s">
        <v>2034</v>
      </c>
      <c r="G44" s="64" t="str">
        <f>INDEX(Auxiliar!$B$16:$B$24,MATCH(Plano_V3!H44,Auxiliar!$C$16:$C$24,0),1)</f>
        <v>6. Em implementação (re-especificação)</v>
      </c>
      <c r="H44" s="64">
        <f>VLOOKUP(A44,'Aux - pivots1'!$A:$B,2,0)</f>
        <v>7</v>
      </c>
      <c r="I44" s="186" t="e">
        <f>SUMIFS(Table1[Estimação (horas)],Table1[Tabela],Plano_V3!E44,Table1[Campo],Plano_V3!F44)</f>
        <v>#N/A</v>
      </c>
      <c r="J44" s="186" t="e">
        <f t="shared" si="16"/>
        <v>#N/A</v>
      </c>
      <c r="K44" s="186" t="e">
        <f>SUMIFS(Table1[Horas efetivas],Table1[Tabela],Plano_V3!E44,Table1[Campo],Plano_V3!F44)</f>
        <v>#N/A</v>
      </c>
      <c r="L44" s="186" t="e">
        <f t="shared" si="17"/>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5"/>
        <v>ENERGY_CERTIFICATE_EST_INPUTCAGLURB</v>
      </c>
      <c r="B45" s="67"/>
      <c r="C45" s="68"/>
      <c r="D45" s="64" t="s">
        <v>40</v>
      </c>
      <c r="E45" s="66" t="s">
        <v>37</v>
      </c>
      <c r="F45" s="66" t="s">
        <v>2035</v>
      </c>
      <c r="G45" s="64" t="str">
        <f>INDEX(Auxiliar!$B$16:$B$24,MATCH(Plano_V3!H45,Auxiliar!$C$16:$C$24,0),1)</f>
        <v>6. Em implementação (re-especificação)</v>
      </c>
      <c r="H45" s="64">
        <f>VLOOKUP(A45,'Aux - pivots1'!$A:$B,2,0)</f>
        <v>7</v>
      </c>
      <c r="I45" s="186" t="e">
        <f>SUMIFS(Table1[Estimação (horas)],Table1[Tabela],Plano_V3!E45,Table1[Campo],Plano_V3!F45)</f>
        <v>#N/A</v>
      </c>
      <c r="J45" s="186" t="e">
        <f t="shared" si="16"/>
        <v>#N/A</v>
      </c>
      <c r="K45" s="186" t="e">
        <f>SUMIFS(Table1[Horas efetivas],Table1[Tabela],Plano_V3!E45,Table1[Campo],Plano_V3!F45)</f>
        <v>#N/A</v>
      </c>
      <c r="L45" s="186" t="e">
        <f t="shared" si="17"/>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5"/>
        <v>ENERGY_CERTIFICATE_EST_INPUTRESTO_DIRECCION</v>
      </c>
      <c r="B46" s="67"/>
      <c r="C46" s="68"/>
      <c r="D46" s="64" t="s">
        <v>40</v>
      </c>
      <c r="E46" s="66" t="s">
        <v>37</v>
      </c>
      <c r="F46" s="66" t="s">
        <v>2036</v>
      </c>
      <c r="G46" s="64" t="str">
        <f>INDEX(Auxiliar!$B$16:$B$24,MATCH(Plano_V3!H46,Auxiliar!$C$16:$C$24,0),1)</f>
        <v>6. Em implementação (re-especificação)</v>
      </c>
      <c r="H46" s="64">
        <f>VLOOKUP(A46,'Aux - pivots1'!$A:$B,2,0)</f>
        <v>7</v>
      </c>
      <c r="I46" s="186" t="e">
        <f>SUMIFS(Table1[Estimação (horas)],Table1[Tabela],Plano_V3!E46,Table1[Campo],Plano_V3!F46)</f>
        <v>#N/A</v>
      </c>
      <c r="J46" s="186" t="e">
        <f t="shared" si="16"/>
        <v>#N/A</v>
      </c>
      <c r="K46" s="186" t="e">
        <f>SUMIFS(Table1[Horas efetivas],Table1[Tabela],Plano_V3!E46,Table1[Campo],Plano_V3!F46)</f>
        <v>#N/A</v>
      </c>
      <c r="L46" s="186" t="e">
        <f t="shared" si="17"/>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5"/>
        <v>ENERGY_CERTIFICATE_EST_INPUTLATITUDE</v>
      </c>
      <c r="B47" s="67"/>
      <c r="C47" s="68"/>
      <c r="D47" s="64" t="s">
        <v>40</v>
      </c>
      <c r="E47" s="66" t="s">
        <v>37</v>
      </c>
      <c r="F47" s="66" t="s">
        <v>2037</v>
      </c>
      <c r="G47" s="64" t="str">
        <f>INDEX(Auxiliar!$B$16:$B$24,MATCH(Plano_V3!H47,Auxiliar!$C$16:$C$24,0),1)</f>
        <v>6. Em implementação (re-especificação)</v>
      </c>
      <c r="H47" s="64">
        <f>VLOOKUP(A47,'Aux - pivots1'!$A:$B,2,0)</f>
        <v>7</v>
      </c>
      <c r="I47" s="186" t="e">
        <f>SUMIFS(Table1[Estimação (horas)],Table1[Tabela],Plano_V3!E47,Table1[Campo],Plano_V3!F47)</f>
        <v>#N/A</v>
      </c>
      <c r="J47" s="186" t="e">
        <f t="shared" si="16"/>
        <v>#N/A</v>
      </c>
      <c r="K47" s="186" t="e">
        <f>SUMIFS(Table1[Horas efetivas],Table1[Tabela],Plano_V3!E47,Table1[Campo],Plano_V3!F47)</f>
        <v>#N/A</v>
      </c>
      <c r="L47" s="186" t="e">
        <f t="shared" si="17"/>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5"/>
        <v>ENERGY_CERTIFICATE_EST_INPUTLONGITUDE</v>
      </c>
      <c r="B48" s="67"/>
      <c r="C48" s="68"/>
      <c r="D48" s="64" t="s">
        <v>40</v>
      </c>
      <c r="E48" s="66" t="s">
        <v>37</v>
      </c>
      <c r="F48" s="66" t="s">
        <v>2038</v>
      </c>
      <c r="G48" s="64" t="str">
        <f>INDEX(Auxiliar!$B$16:$B$24,MATCH(Plano_V3!H48,Auxiliar!$C$16:$C$24,0),1)</f>
        <v>6. Em implementação (re-especificação)</v>
      </c>
      <c r="H48" s="64">
        <f>VLOOKUP(A48,'Aux - pivots1'!$A:$B,2,0)</f>
        <v>7</v>
      </c>
      <c r="I48" s="186" t="e">
        <f>SUMIFS(Table1[Estimação (horas)],Table1[Tabela],Plano_V3!E48,Table1[Campo],Plano_V3!F48)</f>
        <v>#N/A</v>
      </c>
      <c r="J48" s="186" t="e">
        <f t="shared" si="16"/>
        <v>#N/A</v>
      </c>
      <c r="K48" s="186" t="e">
        <f>SUMIFS(Table1[Horas efetivas],Table1[Tabela],Plano_V3!E48,Table1[Campo],Plano_V3!F48)</f>
        <v>#N/A</v>
      </c>
      <c r="L48" s="186" t="e">
        <f t="shared" si="17"/>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5"/>
        <v>ENERGY_CERTIFICATE_EST_INPUTCODIGO_POSTAL</v>
      </c>
      <c r="B49" s="67"/>
      <c r="C49" s="68"/>
      <c r="D49" s="64" t="s">
        <v>40</v>
      </c>
      <c r="E49" s="66" t="s">
        <v>37</v>
      </c>
      <c r="F49" s="66" t="s">
        <v>2039</v>
      </c>
      <c r="G49" s="64" t="str">
        <f>INDEX(Auxiliar!$B$16:$B$24,MATCH(Plano_V3!H49,Auxiliar!$C$16:$C$24,0),1)</f>
        <v>6. Em implementação (re-especificação)</v>
      </c>
      <c r="H49" s="64">
        <f>VLOOKUP(A49,'Aux - pivots1'!$A:$B,2,0)</f>
        <v>7</v>
      </c>
      <c r="I49" s="186" t="e">
        <f>SUMIFS(Table1[Estimação (horas)],Table1[Tabela],Plano_V3!E49,Table1[Campo],Plano_V3!F49)</f>
        <v>#N/A</v>
      </c>
      <c r="J49" s="186" t="e">
        <f t="shared" si="16"/>
        <v>#N/A</v>
      </c>
      <c r="K49" s="186" t="e">
        <f>SUMIFS(Table1[Horas efetivas],Table1[Tabela],Plano_V3!E49,Table1[Campo],Plano_V3!F49)</f>
        <v>#N/A</v>
      </c>
      <c r="L49" s="186" t="e">
        <f t="shared" si="17"/>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5"/>
        <v>ENERGY_CERTIFICATE_EST_INPUTSUBCODIGO_POSTAL</v>
      </c>
      <c r="B50" s="67"/>
      <c r="C50" s="68"/>
      <c r="D50" s="64" t="s">
        <v>40</v>
      </c>
      <c r="E50" s="66" t="s">
        <v>37</v>
      </c>
      <c r="F50" s="66" t="s">
        <v>2040</v>
      </c>
      <c r="G50" s="64" t="str">
        <f>INDEX(Auxiliar!$B$16:$B$24,MATCH(Plano_V3!H50,Auxiliar!$C$16:$C$24,0),1)</f>
        <v>6. Em implementação (re-especificação)</v>
      </c>
      <c r="H50" s="64">
        <f>VLOOKUP(A50,'Aux - pivots1'!$A:$B,2,0)</f>
        <v>7</v>
      </c>
      <c r="I50" s="186" t="e">
        <f>SUMIFS(Table1[Estimação (horas)],Table1[Tabela],Plano_V3!E50,Table1[Campo],Plano_V3!F50)</f>
        <v>#N/A</v>
      </c>
      <c r="J50" s="186" t="e">
        <f t="shared" si="16"/>
        <v>#N/A</v>
      </c>
      <c r="K50" s="186" t="e">
        <f>SUMIFS(Table1[Horas efetivas],Table1[Tabela],Plano_V3!E50,Table1[Campo],Plano_V3!F50)</f>
        <v>#N/A</v>
      </c>
      <c r="L50" s="186" t="e">
        <f t="shared" si="17"/>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5"/>
        <v>ENERGY_CERTIFICATE_EST_INPUTASSUPERFICIE_UTIL</v>
      </c>
      <c r="B51" s="67"/>
      <c r="C51" s="68"/>
      <c r="D51" s="64" t="s">
        <v>40</v>
      </c>
      <c r="E51" s="66" t="s">
        <v>37</v>
      </c>
      <c r="F51" s="66" t="s">
        <v>2041</v>
      </c>
      <c r="G51" s="64" t="str">
        <f>INDEX(Auxiliar!$B$16:$B$24,MATCH(Plano_V3!H51,Auxiliar!$C$16:$C$24,0),1)</f>
        <v>6. Em implementação (re-especificação)</v>
      </c>
      <c r="H51" s="64">
        <f>VLOOKUP(A51,'Aux - pivots1'!$A:$B,2,0)</f>
        <v>7</v>
      </c>
      <c r="I51" s="186" t="e">
        <f>SUMIFS(Table1[Estimação (horas)],Table1[Tabela],Plano_V3!E51,Table1[Campo],Plano_V3!F51)</f>
        <v>#N/A</v>
      </c>
      <c r="J51" s="186" t="e">
        <f t="shared" si="16"/>
        <v>#N/A</v>
      </c>
      <c r="K51" s="186" t="e">
        <f>SUMIFS(Table1[Horas efetivas],Table1[Tabela],Plano_V3!E51,Table1[Campo],Plano_V3!F51)</f>
        <v>#N/A</v>
      </c>
      <c r="L51" s="186" t="e">
        <f t="shared" si="17"/>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5"/>
        <v>ENERGY_CERTIFICATE_EST_INPUTANIO_CONSTRUCCION</v>
      </c>
      <c r="B52" s="67"/>
      <c r="C52" s="68"/>
      <c r="D52" s="64" t="s">
        <v>40</v>
      </c>
      <c r="E52" s="66" t="s">
        <v>37</v>
      </c>
      <c r="F52" s="66" t="s">
        <v>2042</v>
      </c>
      <c r="G52" s="64" t="str">
        <f>INDEX(Auxiliar!$B$16:$B$24,MATCH(Plano_V3!H52,Auxiliar!$C$16:$C$24,0),1)</f>
        <v>6. Em implementação (re-especificação)</v>
      </c>
      <c r="H52" s="64">
        <f>VLOOKUP(A52,'Aux - pivots1'!$A:$B,2,0)</f>
        <v>7</v>
      </c>
      <c r="I52" s="186" t="e">
        <f>SUMIFS(Table1[Estimação (horas)],Table1[Tabela],Plano_V3!E52,Table1[Campo],Plano_V3!F52)</f>
        <v>#N/A</v>
      </c>
      <c r="J52" s="186" t="e">
        <f t="shared" si="16"/>
        <v>#N/A</v>
      </c>
      <c r="K52" s="186" t="e">
        <f>SUMIFS(Table1[Horas efetivas],Table1[Tabela],Plano_V3!E52,Table1[Campo],Plano_V3!F52)</f>
        <v>#N/A</v>
      </c>
      <c r="L52" s="186" t="e">
        <f t="shared" si="17"/>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5"/>
        <v>ENERGY_CERTIFICATE_EST_INPUTTIPO_INMUEBLE_HABITACAO</v>
      </c>
      <c r="B53" s="67" t="s">
        <v>26</v>
      </c>
      <c r="C53" s="68" t="s">
        <v>34</v>
      </c>
      <c r="D53" s="64" t="s">
        <v>40</v>
      </c>
      <c r="E53" s="66" t="s">
        <v>37</v>
      </c>
      <c r="F53" s="66" t="s">
        <v>2043</v>
      </c>
      <c r="G53" s="64" t="str">
        <f>INDEX(Auxiliar!$B$16:$B$24,MATCH(Plano_V3!H53,Auxiliar!$C$16:$C$24,0),1)</f>
        <v>6. Em implementação (re-especificação)</v>
      </c>
      <c r="H53" s="64">
        <f>VLOOKUP(A53,'Aux - pivots1'!$A:$B,2,0)</f>
        <v>7</v>
      </c>
      <c r="I53" s="186" t="e">
        <f>SUMIFS(Table1[Estimação (horas)],Table1[Tabela],Plano_V3!E53,Table1[Campo],Plano_V3!F53)</f>
        <v>#N/A</v>
      </c>
      <c r="J53" s="186" t="e">
        <f t="shared" si="14"/>
        <v>#N/A</v>
      </c>
      <c r="K53" s="186" t="e">
        <f>SUMIFS(Table1[Horas efetivas],Table1[Tabela],Plano_V3!E53,Table1[Campo],Plano_V3!F53)</f>
        <v>#N/A</v>
      </c>
      <c r="L53" s="186" t="e">
        <f t="shared" si="14"/>
        <v>#N/A</v>
      </c>
      <c r="M53" s="180"/>
      <c r="N53" s="180" t="e">
        <f t="shared" ref="N53:N71" si="18">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5"/>
        <v>ENERGY_CERTIFICATE_EST_INPUTPISO_APARTAMENTO</v>
      </c>
      <c r="B54" s="67" t="s">
        <v>26</v>
      </c>
      <c r="C54" s="68" t="s">
        <v>34</v>
      </c>
      <c r="D54" s="64" t="s">
        <v>40</v>
      </c>
      <c r="E54" s="66" t="s">
        <v>37</v>
      </c>
      <c r="F54" s="66" t="s">
        <v>2044</v>
      </c>
      <c r="G54" s="64" t="str">
        <f>INDEX(Auxiliar!$B$16:$B$24,MATCH(Plano_V3!H54,Auxiliar!$C$16:$C$24,0),1)</f>
        <v>6. Em implementação (re-especificação)</v>
      </c>
      <c r="H54" s="64">
        <f>VLOOKUP(A54,'Aux - pivots1'!$A:$B,2,0)</f>
        <v>7</v>
      </c>
      <c r="I54" s="186" t="e">
        <f>SUMIFS(Table1[Estimação (horas)],Table1[Tabela],Plano_V3!E54,Table1[Campo],Plano_V3!F54)</f>
        <v>#N/A</v>
      </c>
      <c r="J54" s="186" t="e">
        <f t="shared" si="14"/>
        <v>#N/A</v>
      </c>
      <c r="K54" s="186" t="e">
        <f>SUMIFS(Table1[Horas efetivas],Table1[Tabela],Plano_V3!E54,Table1[Campo],Plano_V3!F54)</f>
        <v>#N/A</v>
      </c>
      <c r="L54" s="186" t="e">
        <f t="shared" si="14"/>
        <v>#N/A</v>
      </c>
      <c r="M54" s="180"/>
      <c r="N54" s="180" t="e">
        <f t="shared" si="18"/>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5"/>
        <v>ENERGY_CERTIFICATE_EST_INPUTCASA_UNIFAMILIAR</v>
      </c>
      <c r="B55" s="67" t="s">
        <v>26</v>
      </c>
      <c r="C55" s="68" t="s">
        <v>34</v>
      </c>
      <c r="D55" s="64" t="s">
        <v>40</v>
      </c>
      <c r="E55" s="66" t="s">
        <v>37</v>
      </c>
      <c r="F55" s="66" t="s">
        <v>2045</v>
      </c>
      <c r="G55" s="64" t="str">
        <f>INDEX(Auxiliar!$B$16:$B$24,MATCH(Plano_V3!H55,Auxiliar!$C$16:$C$24,0),1)</f>
        <v>6. Em implementação (re-especificação)</v>
      </c>
      <c r="H55" s="64">
        <f>VLOOKUP(A55,'Aux - pivots1'!$A:$B,2,0)</f>
        <v>7</v>
      </c>
      <c r="I55" s="186" t="e">
        <f>SUMIFS(Table1[Estimação (horas)],Table1[Tabela],Plano_V3!E55,Table1[Campo],Plano_V3!F55)</f>
        <v>#N/A</v>
      </c>
      <c r="J55" s="186" t="e">
        <f t="shared" si="14"/>
        <v>#N/A</v>
      </c>
      <c r="K55" s="186" t="e">
        <f>SUMIFS(Table1[Horas efetivas],Table1[Tabela],Plano_V3!E55,Table1[Campo],Plano_V3!F55)</f>
        <v>#N/A</v>
      </c>
      <c r="L55" s="186" t="e">
        <f t="shared" si="14"/>
        <v>#N/A</v>
      </c>
      <c r="M55" s="180"/>
      <c r="N55" s="180" t="e">
        <f t="shared" si="18"/>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5"/>
        <v>ENERGY_CERTIFICATE_EST_INPUTTIPO_INMUEBLE_COMERCIO_SERVICOS</v>
      </c>
      <c r="B56" s="67" t="s">
        <v>26</v>
      </c>
      <c r="C56" s="68" t="s">
        <v>34</v>
      </c>
      <c r="D56" s="64" t="s">
        <v>40</v>
      </c>
      <c r="E56" s="66" t="s">
        <v>37</v>
      </c>
      <c r="F56" s="66" t="s">
        <v>2046</v>
      </c>
      <c r="G56" s="64" t="str">
        <f>INDEX(Auxiliar!$B$16:$B$24,MATCH(Plano_V3!H56,Auxiliar!$C$16:$C$24,0),1)</f>
        <v>6. Em implementação (re-especificação)</v>
      </c>
      <c r="H56" s="64">
        <f>VLOOKUP(A56,'Aux - pivots1'!$A:$B,2,0)</f>
        <v>7</v>
      </c>
      <c r="I56" s="186" t="e">
        <f>SUMIFS(Table1[Estimação (horas)],Table1[Tabela],Plano_V3!E56,Table1[Campo],Plano_V3!F56)</f>
        <v>#N/A</v>
      </c>
      <c r="J56" s="186" t="e">
        <f t="shared" si="14"/>
        <v>#N/A</v>
      </c>
      <c r="K56" s="186" t="e">
        <f>SUMIFS(Table1[Horas efetivas],Table1[Tabela],Plano_V3!E56,Table1[Campo],Plano_V3!F56)</f>
        <v>#N/A</v>
      </c>
      <c r="L56" s="186" t="e">
        <f t="shared" si="14"/>
        <v>#N/A</v>
      </c>
      <c r="M56" s="180"/>
      <c r="N56" s="180" t="e">
        <f t="shared" si="18"/>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5"/>
        <v>ENERGY_CERTIFICATE_EST_INPUTNOME_CONSERVATORIA</v>
      </c>
      <c r="B57" s="67" t="s">
        <v>26</v>
      </c>
      <c r="C57" s="68" t="s">
        <v>34</v>
      </c>
      <c r="D57" s="64" t="s">
        <v>40</v>
      </c>
      <c r="E57" s="66" t="s">
        <v>37</v>
      </c>
      <c r="F57" s="66" t="s">
        <v>2047</v>
      </c>
      <c r="G57" s="64" t="str">
        <f>INDEX(Auxiliar!$B$16:$B$24,MATCH(Plano_V3!H57,Auxiliar!$C$16:$C$24,0),1)</f>
        <v>6. Em implementação (re-especificação)</v>
      </c>
      <c r="H57" s="64">
        <f>VLOOKUP(A57,'Aux - pivots1'!$A:$B,2,0)</f>
        <v>7</v>
      </c>
      <c r="I57" s="186" t="e">
        <f>SUMIFS(Table1[Estimação (horas)],Table1[Tabela],Plano_V3!E57,Table1[Campo],Plano_V3!F57)</f>
        <v>#N/A</v>
      </c>
      <c r="J57" s="186" t="e">
        <f t="shared" si="14"/>
        <v>#N/A</v>
      </c>
      <c r="K57" s="186" t="e">
        <f>SUMIFS(Table1[Horas efetivas],Table1[Tabela],Plano_V3!E57,Table1[Campo],Plano_V3!F57)</f>
        <v>#N/A</v>
      </c>
      <c r="L57" s="186" t="e">
        <f t="shared" si="14"/>
        <v>#N/A</v>
      </c>
      <c r="M57" s="180"/>
      <c r="N57" s="180" t="e">
        <f t="shared" si="18"/>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5"/>
        <v>ENERGY_CERTIFICATE_EST_INPUTCOD_CONSERVATORIA</v>
      </c>
      <c r="B58" s="67" t="s">
        <v>26</v>
      </c>
      <c r="C58" s="68" t="s">
        <v>34</v>
      </c>
      <c r="D58" s="64" t="s">
        <v>40</v>
      </c>
      <c r="E58" s="66" t="s">
        <v>37</v>
      </c>
      <c r="F58" s="66" t="s">
        <v>2048</v>
      </c>
      <c r="G58" s="64" t="str">
        <f>INDEX(Auxiliar!$B$16:$B$24,MATCH(Plano_V3!H58,Auxiliar!$C$16:$C$24,0),1)</f>
        <v>6. Em implementação (re-especificação)</v>
      </c>
      <c r="H58" s="64">
        <f>VLOOKUP(A58,'Aux - pivots1'!$A:$B,2,0)</f>
        <v>7</v>
      </c>
      <c r="I58" s="186" t="e">
        <f>SUMIFS(Table1[Estimação (horas)],Table1[Tabela],Plano_V3!E58,Table1[Campo],Plano_V3!F58)</f>
        <v>#N/A</v>
      </c>
      <c r="J58" s="186" t="e">
        <f t="shared" si="14"/>
        <v>#N/A</v>
      </c>
      <c r="K58" s="186" t="e">
        <f>SUMIFS(Table1[Horas efetivas],Table1[Tabela],Plano_V3!E58,Table1[Campo],Plano_V3!F58)</f>
        <v>#N/A</v>
      </c>
      <c r="L58" s="186" t="e">
        <f t="shared" si="14"/>
        <v>#N/A</v>
      </c>
      <c r="M58" s="180"/>
      <c r="N58" s="180" t="e">
        <f t="shared" si="18"/>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5"/>
        <v>ENERGY_CERTIFICATE_EST_INPUTREGISTRO_CONSERVATORIA</v>
      </c>
      <c r="B59" s="67" t="s">
        <v>26</v>
      </c>
      <c r="C59" s="68" t="s">
        <v>34</v>
      </c>
      <c r="D59" s="64" t="s">
        <v>40</v>
      </c>
      <c r="E59" s="66" t="s">
        <v>37</v>
      </c>
      <c r="F59" s="66" t="s">
        <v>2049</v>
      </c>
      <c r="G59" s="64" t="str">
        <f>INDEX(Auxiliar!$B$16:$B$24,MATCH(Plano_V3!H59,Auxiliar!$C$16:$C$24,0),1)</f>
        <v>6. Em implementação (re-especificação)</v>
      </c>
      <c r="H59" s="64">
        <f>VLOOKUP(A59,'Aux - pivots1'!$A:$B,2,0)</f>
        <v>7</v>
      </c>
      <c r="I59" s="186" t="e">
        <f>SUMIFS(Table1[Estimação (horas)],Table1[Tabela],Plano_V3!E59,Table1[Campo],Plano_V3!F59)</f>
        <v>#N/A</v>
      </c>
      <c r="J59" s="186" t="e">
        <f t="shared" si="14"/>
        <v>#N/A</v>
      </c>
      <c r="K59" s="186" t="e">
        <f>SUMIFS(Table1[Horas efetivas],Table1[Tabela],Plano_V3!E59,Table1[Campo],Plano_V3!F59)</f>
        <v>#N/A</v>
      </c>
      <c r="L59" s="186" t="e">
        <f t="shared" si="14"/>
        <v>#N/A</v>
      </c>
      <c r="M59" s="180"/>
      <c r="N59" s="180" t="e">
        <f t="shared" si="18"/>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5"/>
        <v>ENERGY_CERTIFICATE_EST_INPUTART_MATRICIAIS</v>
      </c>
      <c r="B60" s="67" t="s">
        <v>26</v>
      </c>
      <c r="C60" s="68" t="s">
        <v>34</v>
      </c>
      <c r="D60" s="64" t="s">
        <v>40</v>
      </c>
      <c r="E60" s="66" t="s">
        <v>37</v>
      </c>
      <c r="F60" s="66" t="s">
        <v>2050</v>
      </c>
      <c r="G60" s="64" t="str">
        <f>INDEX(Auxiliar!$B$16:$B$24,MATCH(Plano_V3!H60,Auxiliar!$C$16:$C$24,0),1)</f>
        <v>6. Em implementação (re-especificação)</v>
      </c>
      <c r="H60" s="64">
        <f>VLOOKUP(A60,'Aux - pivots1'!$A:$B,2,0)</f>
        <v>7</v>
      </c>
      <c r="I60" s="186" t="e">
        <f>SUMIFS(Table1[Estimação (horas)],Table1[Tabela],Plano_V3!E60,Table1[Campo],Plano_V3!F60)</f>
        <v>#N/A</v>
      </c>
      <c r="J60" s="186" t="e">
        <f t="shared" si="14"/>
        <v>#N/A</v>
      </c>
      <c r="K60" s="186" t="e">
        <f>SUMIFS(Table1[Horas efetivas],Table1[Tabela],Plano_V3!E60,Table1[Campo],Plano_V3!F60)</f>
        <v>#N/A</v>
      </c>
      <c r="L60" s="186" t="e">
        <f t="shared" si="14"/>
        <v>#N/A</v>
      </c>
      <c r="M60" s="180"/>
      <c r="N60" s="180" t="e">
        <f t="shared" si="18"/>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5"/>
        <v>ENERGY_CERTIFICATE_EST_INPUTFRACCAO_AUTONOMA</v>
      </c>
      <c r="B61" s="67" t="s">
        <v>26</v>
      </c>
      <c r="C61" s="68" t="s">
        <v>34</v>
      </c>
      <c r="D61" s="64" t="s">
        <v>40</v>
      </c>
      <c r="E61" s="66" t="s">
        <v>37</v>
      </c>
      <c r="F61" s="66" t="s">
        <v>2051</v>
      </c>
      <c r="G61" s="64" t="str">
        <f>INDEX(Auxiliar!$B$16:$B$24,MATCH(Plano_V3!H61,Auxiliar!$C$16:$C$24,0),1)</f>
        <v>6. Em implementação (re-especificação)</v>
      </c>
      <c r="H61" s="64">
        <f>VLOOKUP(A61,'Aux - pivots1'!$A:$B,2,0)</f>
        <v>7</v>
      </c>
      <c r="I61" s="186" t="e">
        <f>SUMIFS(Table1[Estimação (horas)],Table1[Tabela],Plano_V3!E61,Table1[Campo],Plano_V3!F61)</f>
        <v>#N/A</v>
      </c>
      <c r="J61" s="186" t="e">
        <f t="shared" si="14"/>
        <v>#N/A</v>
      </c>
      <c r="K61" s="186" t="e">
        <f>SUMIFS(Table1[Horas efetivas],Table1[Tabela],Plano_V3!E61,Table1[Campo],Plano_V3!F61)</f>
        <v>#N/A</v>
      </c>
      <c r="L61" s="186" t="e">
        <f t="shared" si="14"/>
        <v>#N/A</v>
      </c>
      <c r="M61" s="180"/>
      <c r="N61" s="180" t="e">
        <f t="shared" si="18"/>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5"/>
        <v>ENERGY_CERTIFICATE_EST_INPUTFINALIDADE_BEM</v>
      </c>
      <c r="B62" s="67" t="s">
        <v>26</v>
      </c>
      <c r="C62" s="68" t="s">
        <v>34</v>
      </c>
      <c r="D62" s="64" t="s">
        <v>40</v>
      </c>
      <c r="E62" s="66" t="s">
        <v>37</v>
      </c>
      <c r="F62" s="66" t="s">
        <v>2052</v>
      </c>
      <c r="G62" s="64" t="str">
        <f>INDEX(Auxiliar!$B$16:$B$24,MATCH(Plano_V3!H62,Auxiliar!$C$16:$C$24,0),1)</f>
        <v>6. Em implementação (re-especificação)</v>
      </c>
      <c r="H62" s="64">
        <f>VLOOKUP(A62,'Aux - pivots1'!$A:$B,2,0)</f>
        <v>7</v>
      </c>
      <c r="I62" s="186" t="e">
        <f>SUMIFS(Table1[Estimação (horas)],Table1[Tabela],Plano_V3!E62,Table1[Campo],Plano_V3!F62)</f>
        <v>#N/A</v>
      </c>
      <c r="J62" s="186" t="e">
        <f t="shared" si="14"/>
        <v>#N/A</v>
      </c>
      <c r="K62" s="186" t="e">
        <f>SUMIFS(Table1[Horas efetivas],Table1[Tabela],Plano_V3!E62,Table1[Campo],Plano_V3!F62)</f>
        <v>#N/A</v>
      </c>
      <c r="L62" s="186" t="e">
        <f t="shared" si="14"/>
        <v>#N/A</v>
      </c>
      <c r="M62" s="180"/>
      <c r="N62" s="180" t="e">
        <f t="shared" si="18"/>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5"/>
        <v>ENERGY_CERTIFICATE_EST_INPUTCLASS_GPT31</v>
      </c>
      <c r="B63" s="67" t="s">
        <v>26</v>
      </c>
      <c r="C63" s="68" t="s">
        <v>34</v>
      </c>
      <c r="D63" s="64" t="s">
        <v>40</v>
      </c>
      <c r="E63" s="66" t="s">
        <v>37</v>
      </c>
      <c r="F63" s="66" t="s">
        <v>2053</v>
      </c>
      <c r="G63" s="64" t="str">
        <f>INDEX(Auxiliar!$B$16:$B$24,MATCH(Plano_V3!H63,Auxiliar!$C$16:$C$24,0),1)</f>
        <v>6. Em implementação (re-especificação)</v>
      </c>
      <c r="H63" s="64">
        <f>VLOOKUP(A63,'Aux - pivots1'!$A:$B,2,0)</f>
        <v>7</v>
      </c>
      <c r="I63" s="186" t="e">
        <f>SUMIFS(Table1[Estimação (horas)],Table1[Tabela],Plano_V3!E63,Table1[Campo],Plano_V3!F63)</f>
        <v>#N/A</v>
      </c>
      <c r="J63" s="186" t="e">
        <f t="shared" si="14"/>
        <v>#N/A</v>
      </c>
      <c r="K63" s="186" t="e">
        <f>SUMIFS(Table1[Horas efetivas],Table1[Tabela],Plano_V3!E63,Table1[Campo],Plano_V3!F63)</f>
        <v>#N/A</v>
      </c>
      <c r="L63" s="186" t="e">
        <f t="shared" si="14"/>
        <v>#N/A</v>
      </c>
      <c r="M63" s="180"/>
      <c r="N63" s="180" t="e">
        <f t="shared" si="18"/>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5"/>
        <v>ENERGY_CERTIFICATE_EST_INPUTCLASS_STCLIM</v>
      </c>
      <c r="B64" s="67" t="s">
        <v>26</v>
      </c>
      <c r="C64" s="68" t="s">
        <v>34</v>
      </c>
      <c r="D64" s="64" t="s">
        <v>40</v>
      </c>
      <c r="E64" s="66" t="s">
        <v>37</v>
      </c>
      <c r="F64" s="66" t="s">
        <v>2054</v>
      </c>
      <c r="G64" s="64" t="str">
        <f>INDEX(Auxiliar!$B$16:$B$24,MATCH(Plano_V3!H64,Auxiliar!$C$16:$C$24,0),1)</f>
        <v>6. Em implementação (re-especificação)</v>
      </c>
      <c r="H64" s="64">
        <f>VLOOKUP(A64,'Aux - pivots1'!$A:$B,2,0)</f>
        <v>7</v>
      </c>
      <c r="I64" s="186" t="e">
        <f>SUMIFS(Table1[Estimação (horas)],Table1[Tabela],Plano_V3!E64,Table1[Campo],Plano_V3!F64)</f>
        <v>#N/A</v>
      </c>
      <c r="J64" s="186" t="e">
        <f t="shared" si="14"/>
        <v>#N/A</v>
      </c>
      <c r="K64" s="186" t="e">
        <f>SUMIFS(Table1[Horas efetivas],Table1[Tabela],Plano_V3!E64,Table1[Campo],Plano_V3!F64)</f>
        <v>#N/A</v>
      </c>
      <c r="L64" s="186" t="e">
        <f t="shared" si="14"/>
        <v>#N/A</v>
      </c>
      <c r="M64" s="180"/>
      <c r="N64" s="180" t="e">
        <f t="shared" si="18"/>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5"/>
        <v>ENERGY_CERTIFICATE_EST_INPUTCONF_STCLIM</v>
      </c>
      <c r="B65" s="67"/>
      <c r="C65" s="68"/>
      <c r="D65" s="64" t="s">
        <v>40</v>
      </c>
      <c r="E65" s="66" t="s">
        <v>37</v>
      </c>
      <c r="F65" s="66" t="s">
        <v>2055</v>
      </c>
      <c r="G65" s="64" t="str">
        <f>INDEX(Auxiliar!$B$16:$B$24,MATCH(Plano_V3!H65,Auxiliar!$C$16:$C$24,0),1)</f>
        <v>6. Em implementação (re-especificação)</v>
      </c>
      <c r="H65" s="64">
        <f>VLOOKUP(A65,'Aux - pivots1'!$A:$B,2,0)</f>
        <v>7</v>
      </c>
      <c r="I65" s="186" t="e">
        <f>SUMIFS(Table1[Estimação (horas)],Table1[Tabela],Plano_V3!E65,Table1[Campo],Plano_V3!F65)</f>
        <v>#N/A</v>
      </c>
      <c r="J65" s="186" t="e">
        <f t="shared" ref="J65:J69" si="19">I65/8</f>
        <v>#N/A</v>
      </c>
      <c r="K65" s="186" t="e">
        <f>SUMIFS(Table1[Horas efetivas],Table1[Tabela],Plano_V3!E65,Table1[Campo],Plano_V3!F65)</f>
        <v>#N/A</v>
      </c>
      <c r="L65" s="186" t="e">
        <f t="shared" ref="L65:L69" si="20">K65/8</f>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5"/>
        <v>ENERGY_CERTIFICATE_EST_INPUTCLASSE_ENERGETICA</v>
      </c>
      <c r="B66" s="67"/>
      <c r="C66" s="68"/>
      <c r="D66" s="64" t="s">
        <v>40</v>
      </c>
      <c r="E66" s="66" t="s">
        <v>37</v>
      </c>
      <c r="F66" s="66" t="s">
        <v>2056</v>
      </c>
      <c r="G66" s="64" t="str">
        <f>INDEX(Auxiliar!$B$16:$B$24,MATCH(Plano_V3!H66,Auxiliar!$C$16:$C$24,0),1)</f>
        <v>6. Em implementação (re-especificação)</v>
      </c>
      <c r="H66" s="64">
        <f>VLOOKUP(A66,'Aux - pivots1'!$A:$B,2,0)</f>
        <v>7</v>
      </c>
      <c r="I66" s="186" t="e">
        <f>SUMIFS(Table1[Estimação (horas)],Table1[Tabela],Plano_V3!E66,Table1[Campo],Plano_V3!F66)</f>
        <v>#N/A</v>
      </c>
      <c r="J66" s="186" t="e">
        <f t="shared" si="19"/>
        <v>#N/A</v>
      </c>
      <c r="K66" s="186" t="e">
        <f>SUMIFS(Table1[Horas efetivas],Table1[Tabela],Plano_V3!E66,Table1[Campo],Plano_V3!F66)</f>
        <v>#N/A</v>
      </c>
      <c r="L66" s="186" t="e">
        <f t="shared" si="20"/>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5"/>
        <v>ENERGY_CERTIFICATE_EST_INPUTFIABILIDAD</v>
      </c>
      <c r="B67" s="67"/>
      <c r="C67" s="68"/>
      <c r="D67" s="64" t="s">
        <v>40</v>
      </c>
      <c r="E67" s="66" t="s">
        <v>37</v>
      </c>
      <c r="F67" s="66" t="s">
        <v>2057</v>
      </c>
      <c r="G67" s="64" t="str">
        <f>INDEX(Auxiliar!$B$16:$B$24,MATCH(Plano_V3!H67,Auxiliar!$C$16:$C$24,0),1)</f>
        <v>6. Em implementação (re-especificação)</v>
      </c>
      <c r="H67" s="64">
        <f>VLOOKUP(A67,'Aux - pivots1'!$A:$B,2,0)</f>
        <v>7</v>
      </c>
      <c r="I67" s="186" t="e">
        <f>SUMIFS(Table1[Estimação (horas)],Table1[Tabela],Plano_V3!E67,Table1[Campo],Plano_V3!F67)</f>
        <v>#N/A</v>
      </c>
      <c r="J67" s="186" t="e">
        <f t="shared" si="19"/>
        <v>#N/A</v>
      </c>
      <c r="K67" s="186" t="e">
        <f>SUMIFS(Table1[Horas efetivas],Table1[Tabela],Plano_V3!E67,Table1[Campo],Plano_V3!F67)</f>
        <v>#N/A</v>
      </c>
      <c r="L67" s="186" t="e">
        <f t="shared" si="20"/>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5"/>
        <v>ENERGY_CERTIFICATE_EST_INPUTEMISSIONES</v>
      </c>
      <c r="B68" s="67"/>
      <c r="C68" s="68"/>
      <c r="D68" s="64" t="s">
        <v>40</v>
      </c>
      <c r="E68" s="66" t="s">
        <v>37</v>
      </c>
      <c r="F68" s="66" t="s">
        <v>2058</v>
      </c>
      <c r="G68" s="64" t="str">
        <f>INDEX(Auxiliar!$B$16:$B$24,MATCH(Plano_V3!H68,Auxiliar!$C$16:$C$24,0),1)</f>
        <v>6. Em implementação (re-especificação)</v>
      </c>
      <c r="H68" s="64">
        <f>VLOOKUP(A68,'Aux - pivots1'!$A:$B,2,0)</f>
        <v>7</v>
      </c>
      <c r="I68" s="186" t="e">
        <f>SUMIFS(Table1[Estimação (horas)],Table1[Tabela],Plano_V3!E68,Table1[Campo],Plano_V3!F68)</f>
        <v>#N/A</v>
      </c>
      <c r="J68" s="186" t="e">
        <f t="shared" si="19"/>
        <v>#N/A</v>
      </c>
      <c r="K68" s="186" t="e">
        <f>SUMIFS(Table1[Horas efetivas],Table1[Tabela],Plano_V3!E68,Table1[Campo],Plano_V3!F68)</f>
        <v>#N/A</v>
      </c>
      <c r="L68" s="186" t="e">
        <f t="shared" si="20"/>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5"/>
        <v>ENERGY_CERTIFICATE_EST_INPUTCONSUMOS</v>
      </c>
      <c r="B69" s="67"/>
      <c r="C69" s="68"/>
      <c r="D69" s="64" t="s">
        <v>40</v>
      </c>
      <c r="E69" s="66" t="s">
        <v>37</v>
      </c>
      <c r="F69" s="66" t="s">
        <v>2059</v>
      </c>
      <c r="G69" s="64" t="str">
        <f>INDEX(Auxiliar!$B$16:$B$24,MATCH(Plano_V3!H69,Auxiliar!$C$16:$C$24,0),1)</f>
        <v>6. Em implementação (re-especificação)</v>
      </c>
      <c r="H69" s="64">
        <f>VLOOKUP(A69,'Aux - pivots1'!$A:$B,2,0)</f>
        <v>7</v>
      </c>
      <c r="I69" s="186" t="e">
        <f>SUMIFS(Table1[Estimação (horas)],Table1[Tabela],Plano_V3!E69,Table1[Campo],Plano_V3!F69)</f>
        <v>#N/A</v>
      </c>
      <c r="J69" s="186" t="e">
        <f t="shared" si="19"/>
        <v>#N/A</v>
      </c>
      <c r="K69" s="186" t="e">
        <f>SUMIFS(Table1[Horas efetivas],Table1[Tabela],Plano_V3!E69,Table1[Campo],Plano_V3!F69)</f>
        <v>#N/A</v>
      </c>
      <c r="L69" s="186" t="e">
        <f t="shared" si="20"/>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5"/>
        <v>ENERGY_CERTIFICATE_EST_INPUTDATA_ENVIO</v>
      </c>
      <c r="B70" s="67"/>
      <c r="C70" s="68"/>
      <c r="D70" s="64" t="s">
        <v>40</v>
      </c>
      <c r="E70" s="66" t="s">
        <v>37</v>
      </c>
      <c r="F70" s="66" t="s">
        <v>2060</v>
      </c>
      <c r="G70" s="64" t="str">
        <f>INDEX(Auxiliar!$B$16:$B$24,MATCH(Plano_V3!H70,Auxiliar!$C$16:$C$24,0),1)</f>
        <v>6. Em implementação (re-especificação)</v>
      </c>
      <c r="H70" s="64">
        <f>VLOOKUP(A70,'Aux - pivots1'!$A:$B,2,0)</f>
        <v>7</v>
      </c>
      <c r="I70" s="186" t="e">
        <f>SUMIFS(Table1[Estimação (horas)],Table1[Tabela],Plano_V3!E70,Table1[Campo],Plano_V3!F70)</f>
        <v>#N/A</v>
      </c>
      <c r="J70" s="186" t="e">
        <f t="shared" ref="J70" si="21">I70/8</f>
        <v>#N/A</v>
      </c>
      <c r="K70" s="186" t="e">
        <f>SUMIFS(Table1[Horas efetivas],Table1[Tabela],Plano_V3!E70,Table1[Campo],Plano_V3!F70)</f>
        <v>#N/A</v>
      </c>
      <c r="L70" s="186" t="e">
        <f t="shared" ref="L70" si="22">K70/8</f>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5"/>
        <v>Re-testesn.a.</v>
      </c>
      <c r="B71" s="67" t="s">
        <v>26</v>
      </c>
      <c r="C71" s="68" t="s">
        <v>34</v>
      </c>
      <c r="D71" s="64" t="s">
        <v>40</v>
      </c>
      <c r="E71" s="66" t="s">
        <v>53</v>
      </c>
      <c r="F71" s="66" t="s">
        <v>38</v>
      </c>
      <c r="G71" s="64" t="s">
        <v>28</v>
      </c>
      <c r="H71" s="64"/>
      <c r="I71" s="186" t="e">
        <f>SUM(I26:I64)*$D$6</f>
        <v>#N/A</v>
      </c>
      <c r="J71" s="186" t="e">
        <f>I71/8</f>
        <v>#N/A</v>
      </c>
      <c r="K71" s="186" t="e">
        <f>SUM(K26:K64)*$D$6</f>
        <v>#N/A</v>
      </c>
      <c r="L71" s="186" t="e">
        <f>K71/8</f>
        <v>#N/A</v>
      </c>
      <c r="M71" s="180"/>
      <c r="N71" s="180" t="e">
        <f t="shared" si="18"/>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2.4" collapsed="1">
      <c r="A72" s="29" t="str">
        <f t="shared" ref="A72:A135" si="23">E72&amp;F72</f>
        <v/>
      </c>
      <c r="B72" s="63" t="s">
        <v>26</v>
      </c>
      <c r="C72" s="96" t="s">
        <v>54</v>
      </c>
      <c r="D72" s="96"/>
      <c r="E72" s="103"/>
      <c r="F72" s="96"/>
      <c r="G72" s="96"/>
      <c r="H72" s="96"/>
      <c r="I72" s="185">
        <f>SUM(I73:I236)</f>
        <v>839.75000000000261</v>
      </c>
      <c r="J72" s="185">
        <f>ROUNDUP(I72/8,0)</f>
        <v>105</v>
      </c>
      <c r="K72" s="185">
        <f>SUM(K73:K236)</f>
        <v>819.13750000000232</v>
      </c>
      <c r="L72" s="185">
        <f>ROUNDUP(K72/8,0)</f>
        <v>103</v>
      </c>
      <c r="M72" s="184">
        <f>SUMIFS(R72:ES72,$R$9:$ES$9,"S")/J72</f>
        <v>0.95238095238095233</v>
      </c>
      <c r="N72" s="184">
        <f>IFERROR(L72/J72,0)</f>
        <v>0.98095238095238091</v>
      </c>
      <c r="O72" s="184">
        <f t="shared" si="12"/>
        <v>2.8571428571428581E-2</v>
      </c>
      <c r="P72" s="204" t="s">
        <v>1875</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3"/>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4">I73/8</f>
        <v>1</v>
      </c>
      <c r="K73" s="186">
        <f>SUMIFS(Table1[Horas efetivas],Table1[Tabela],Plano_V3!E73,Table1[Campo],Plano_V3!F73)</f>
        <v>8</v>
      </c>
      <c r="L73" s="186">
        <f t="shared" ref="L73:L136" si="25">K73/8</f>
        <v>1</v>
      </c>
      <c r="M73" s="180"/>
      <c r="N73" s="180">
        <f t="shared" ref="N73:N136" si="26">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3"/>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4"/>
        <v>0.51249999999999996</v>
      </c>
      <c r="K74" s="186">
        <f>SUMIFS(Table1[Horas efetivas],Table1[Tabela],Plano_V3!E74,Table1[Campo],Plano_V3!F74)</f>
        <v>4.0999999999999996</v>
      </c>
      <c r="L74" s="186">
        <f t="shared" si="25"/>
        <v>0.51249999999999996</v>
      </c>
      <c r="M74" s="180"/>
      <c r="N74" s="180">
        <f t="shared" si="26"/>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3"/>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4"/>
        <v>0.51249999999999996</v>
      </c>
      <c r="K75" s="186">
        <f>SUMIFS(Table1[Horas efetivas],Table1[Tabela],Plano_V3!E75,Table1[Campo],Plano_V3!F75)</f>
        <v>4.0999999999999996</v>
      </c>
      <c r="L75" s="186">
        <f t="shared" si="25"/>
        <v>0.51249999999999996</v>
      </c>
      <c r="M75" s="180"/>
      <c r="N75" s="180">
        <f t="shared" si="26"/>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3"/>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4"/>
        <v>0.51249999999999996</v>
      </c>
      <c r="K76" s="186">
        <f>SUMIFS(Table1[Horas efetivas],Table1[Tabela],Plano_V3!E76,Table1[Campo],Plano_V3!F76)</f>
        <v>4.0999999999999996</v>
      </c>
      <c r="L76" s="186">
        <f t="shared" si="25"/>
        <v>0.51249999999999996</v>
      </c>
      <c r="M76" s="180"/>
      <c r="N76" s="180">
        <f t="shared" si="26"/>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3"/>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4"/>
        <v>0</v>
      </c>
      <c r="K77" s="186">
        <f>SUMIFS(Table1[Horas efetivas],Table1[Tabela],Plano_V3!E77,Table1[Campo],Plano_V3!F77)</f>
        <v>0</v>
      </c>
      <c r="L77" s="186">
        <f t="shared" si="25"/>
        <v>0</v>
      </c>
      <c r="M77" s="180"/>
      <c r="N77" s="180" t="e">
        <f t="shared" si="26"/>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3"/>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4"/>
        <v>0.51249999999999996</v>
      </c>
      <c r="K78" s="186">
        <f>SUMIFS(Table1[Horas efetivas],Table1[Tabela],Plano_V3!E78,Table1[Campo],Plano_V3!F78)</f>
        <v>4.0999999999999996</v>
      </c>
      <c r="L78" s="186">
        <f t="shared" si="25"/>
        <v>0.51249999999999996</v>
      </c>
      <c r="M78" s="180"/>
      <c r="N78" s="180">
        <f t="shared" si="26"/>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3"/>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4"/>
        <v>0.51249999999999996</v>
      </c>
      <c r="K79" s="186">
        <f>SUMIFS(Table1[Horas efetivas],Table1[Tabela],Plano_V3!E79,Table1[Campo],Plano_V3!F79)</f>
        <v>4.0999999999999996</v>
      </c>
      <c r="L79" s="186">
        <f t="shared" si="25"/>
        <v>0.51249999999999996</v>
      </c>
      <c r="M79" s="180"/>
      <c r="N79" s="180">
        <f t="shared" si="26"/>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3"/>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4"/>
        <v>0.51249999999999996</v>
      </c>
      <c r="K80" s="186">
        <f>SUMIFS(Table1[Horas efetivas],Table1[Tabela],Plano_V3!E80,Table1[Campo],Plano_V3!F80)</f>
        <v>4.0999999999999996</v>
      </c>
      <c r="L80" s="186">
        <f t="shared" si="25"/>
        <v>0.51249999999999996</v>
      </c>
      <c r="M80" s="180"/>
      <c r="N80" s="180">
        <f t="shared" si="26"/>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3"/>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4"/>
        <v>0.51249999999999996</v>
      </c>
      <c r="K81" s="186">
        <f>SUMIFS(Table1[Horas efetivas],Table1[Tabela],Plano_V3!E81,Table1[Campo],Plano_V3!F81)</f>
        <v>4.0999999999999996</v>
      </c>
      <c r="L81" s="186">
        <f t="shared" si="25"/>
        <v>0.51249999999999996</v>
      </c>
      <c r="M81" s="180"/>
      <c r="N81" s="180">
        <f t="shared" si="26"/>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3"/>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4"/>
        <v>0.51249999999999996</v>
      </c>
      <c r="K82" s="186">
        <f>SUMIFS(Table1[Horas efetivas],Table1[Tabela],Plano_V3!E82,Table1[Campo],Plano_V3!F82)</f>
        <v>4.0999999999999996</v>
      </c>
      <c r="L82" s="186">
        <f t="shared" si="25"/>
        <v>0.51249999999999996</v>
      </c>
      <c r="M82" s="180"/>
      <c r="N82" s="180">
        <f t="shared" si="26"/>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3"/>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4"/>
        <v>0.51249999999999996</v>
      </c>
      <c r="K83" s="186">
        <f>SUMIFS(Table1[Horas efetivas],Table1[Tabela],Plano_V3!E83,Table1[Campo],Plano_V3!F83)</f>
        <v>4.0999999999999996</v>
      </c>
      <c r="L83" s="186">
        <f t="shared" si="25"/>
        <v>0.51249999999999996</v>
      </c>
      <c r="M83" s="180"/>
      <c r="N83" s="180">
        <f t="shared" si="26"/>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3"/>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4"/>
        <v>0.51249999999999996</v>
      </c>
      <c r="K84" s="186">
        <f>SUMIFS(Table1[Horas efetivas],Table1[Tabela],Plano_V3!E84,Table1[Campo],Plano_V3!F84)</f>
        <v>4.0999999999999996</v>
      </c>
      <c r="L84" s="186">
        <f t="shared" si="25"/>
        <v>0.51249999999999996</v>
      </c>
      <c r="M84" s="180"/>
      <c r="N84" s="180">
        <f t="shared" si="26"/>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3"/>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4"/>
        <v>0.51249999999999996</v>
      </c>
      <c r="K85" s="186">
        <f>SUMIFS(Table1[Horas efetivas],Table1[Tabela],Plano_V3!E85,Table1[Campo],Plano_V3!F85)</f>
        <v>4.0999999999999996</v>
      </c>
      <c r="L85" s="186">
        <f t="shared" si="25"/>
        <v>0.51249999999999996</v>
      </c>
      <c r="M85" s="180"/>
      <c r="N85" s="180">
        <f t="shared" si="26"/>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3"/>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4"/>
        <v>0.51249999999999996</v>
      </c>
      <c r="K86" s="186">
        <f>SUMIFS(Table1[Horas efetivas],Table1[Tabela],Plano_V3!E86,Table1[Campo],Plano_V3!F86)</f>
        <v>4.0999999999999996</v>
      </c>
      <c r="L86" s="186">
        <f t="shared" si="25"/>
        <v>0.51249999999999996</v>
      </c>
      <c r="M86" s="180"/>
      <c r="N86" s="180">
        <f t="shared" si="26"/>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3"/>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4"/>
        <v>0</v>
      </c>
      <c r="K87" s="186">
        <f>SUMIFS(Table1[Horas efetivas],Table1[Tabela],Plano_V3!E87,Table1[Campo],Plano_V3!F87)</f>
        <v>0</v>
      </c>
      <c r="L87" s="186">
        <f t="shared" si="25"/>
        <v>0</v>
      </c>
      <c r="M87" s="180"/>
      <c r="N87" s="180" t="e">
        <f t="shared" si="26"/>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3"/>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4"/>
        <v>0</v>
      </c>
      <c r="K88" s="186">
        <f>SUMIFS(Table1[Horas efetivas],Table1[Tabela],Plano_V3!E88,Table1[Campo],Plano_V3!F88)</f>
        <v>0</v>
      </c>
      <c r="L88" s="186">
        <f t="shared" si="25"/>
        <v>0</v>
      </c>
      <c r="M88" s="180"/>
      <c r="N88" s="180" t="e">
        <f t="shared" si="26"/>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3"/>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4"/>
        <v>0.51249999999999996</v>
      </c>
      <c r="K89" s="186">
        <f>SUMIFS(Table1[Horas efetivas],Table1[Tabela],Plano_V3!E89,Table1[Campo],Plano_V3!F89)</f>
        <v>0</v>
      </c>
      <c r="L89" s="186">
        <f t="shared" si="25"/>
        <v>0</v>
      </c>
      <c r="M89" s="180"/>
      <c r="N89" s="180">
        <f t="shared" si="26"/>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3"/>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4"/>
        <v>0.51249999999999996</v>
      </c>
      <c r="K90" s="186">
        <f>SUMIFS(Table1[Horas efetivas],Table1[Tabela],Plano_V3!E90,Table1[Campo],Plano_V3!F90)</f>
        <v>4.0999999999999996</v>
      </c>
      <c r="L90" s="186">
        <f t="shared" si="25"/>
        <v>0.51249999999999996</v>
      </c>
      <c r="M90" s="180"/>
      <c r="N90" s="180">
        <f t="shared" si="26"/>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3"/>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4"/>
        <v>1</v>
      </c>
      <c r="K91" s="186">
        <f>SUMIFS(Table1[Horas efetivas],Table1[Tabela],Plano_V3!E91,Table1[Campo],Plano_V3!F91)</f>
        <v>8</v>
      </c>
      <c r="L91" s="186">
        <f t="shared" si="25"/>
        <v>1</v>
      </c>
      <c r="M91" s="180"/>
      <c r="N91" s="180">
        <f t="shared" si="26"/>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3"/>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4"/>
        <v>1.0125</v>
      </c>
      <c r="K92" s="186">
        <f>SUMIFS(Table1[Horas efetivas],Table1[Tabela],Plano_V3!E92,Table1[Campo],Plano_V3!F92)</f>
        <v>8.1</v>
      </c>
      <c r="L92" s="186">
        <f t="shared" si="25"/>
        <v>1.0125</v>
      </c>
      <c r="M92" s="180"/>
      <c r="N92" s="180">
        <f t="shared" si="26"/>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3"/>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4"/>
        <v>1.0125</v>
      </c>
      <c r="K93" s="186">
        <f>SUMIFS(Table1[Horas efetivas],Table1[Tabela],Plano_V3!E93,Table1[Campo],Plano_V3!F93)</f>
        <v>8.1</v>
      </c>
      <c r="L93" s="186">
        <f t="shared" si="25"/>
        <v>1.0125</v>
      </c>
      <c r="M93" s="180"/>
      <c r="N93" s="180">
        <f t="shared" si="26"/>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3"/>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4"/>
        <v>1.0125</v>
      </c>
      <c r="K94" s="186">
        <f>SUMIFS(Table1[Horas efetivas],Table1[Tabela],Plano_V3!E94,Table1[Campo],Plano_V3!F94)</f>
        <v>8.1</v>
      </c>
      <c r="L94" s="186">
        <f t="shared" si="25"/>
        <v>1.0125</v>
      </c>
      <c r="M94" s="180"/>
      <c r="N94" s="180">
        <f t="shared" si="26"/>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3"/>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4"/>
        <v>1.0125</v>
      </c>
      <c r="K95" s="186">
        <f>SUMIFS(Table1[Horas efetivas],Table1[Tabela],Plano_V3!E95,Table1[Campo],Plano_V3!F95)</f>
        <v>8.1</v>
      </c>
      <c r="L95" s="186">
        <f t="shared" si="25"/>
        <v>1.0125</v>
      </c>
      <c r="M95" s="180"/>
      <c r="N95" s="180">
        <f t="shared" si="26"/>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3"/>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4"/>
        <v>1.0125</v>
      </c>
      <c r="K96" s="186">
        <f>SUMIFS(Table1[Horas efetivas],Table1[Tabela],Plano_V3!E96,Table1[Campo],Plano_V3!F96)</f>
        <v>8.1</v>
      </c>
      <c r="L96" s="186">
        <f t="shared" si="25"/>
        <v>1.0125</v>
      </c>
      <c r="M96" s="180"/>
      <c r="N96" s="180">
        <f t="shared" si="26"/>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3"/>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4"/>
        <v>1.0125</v>
      </c>
      <c r="K97" s="186">
        <f>SUMIFS(Table1[Horas efetivas],Table1[Tabela],Plano_V3!E97,Table1[Campo],Plano_V3!F97)</f>
        <v>8.1</v>
      </c>
      <c r="L97" s="186">
        <f t="shared" si="25"/>
        <v>1.0125</v>
      </c>
      <c r="M97" s="180"/>
      <c r="N97" s="180">
        <f t="shared" si="26"/>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3"/>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4"/>
        <v>1.0125</v>
      </c>
      <c r="K98" s="186">
        <f>SUMIFS(Table1[Horas efetivas],Table1[Tabela],Plano_V3!E98,Table1[Campo],Plano_V3!F98)</f>
        <v>8.1</v>
      </c>
      <c r="L98" s="186">
        <f t="shared" si="25"/>
        <v>1.0125</v>
      </c>
      <c r="M98" s="180"/>
      <c r="N98" s="180">
        <f t="shared" si="26"/>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3"/>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4"/>
        <v>1.0125</v>
      </c>
      <c r="K99" s="186">
        <f>SUMIFS(Table1[Horas efetivas],Table1[Tabela],Plano_V3!E99,Table1[Campo],Plano_V3!F99)</f>
        <v>8.1</v>
      </c>
      <c r="L99" s="186">
        <f t="shared" si="25"/>
        <v>1.0125</v>
      </c>
      <c r="M99" s="180"/>
      <c r="N99" s="180">
        <f t="shared" si="26"/>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3"/>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4"/>
        <v>1.0125</v>
      </c>
      <c r="K100" s="186">
        <f>SUMIFS(Table1[Horas efetivas],Table1[Tabela],Plano_V3!E100,Table1[Campo],Plano_V3!F100)</f>
        <v>8.1</v>
      </c>
      <c r="L100" s="186">
        <f t="shared" si="25"/>
        <v>1.0125</v>
      </c>
      <c r="M100" s="180"/>
      <c r="N100" s="180">
        <f t="shared" si="26"/>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3"/>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4"/>
        <v>1.0125</v>
      </c>
      <c r="K101" s="186">
        <f>SUMIFS(Table1[Horas efetivas],Table1[Tabela],Plano_V3!E101,Table1[Campo],Plano_V3!F101)</f>
        <v>8.1</v>
      </c>
      <c r="L101" s="186">
        <f t="shared" si="25"/>
        <v>1.0125</v>
      </c>
      <c r="M101" s="180"/>
      <c r="N101" s="180">
        <f t="shared" si="26"/>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3"/>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4"/>
        <v>0</v>
      </c>
      <c r="K102" s="186">
        <f>SUMIFS(Table1[Horas efetivas],Table1[Tabela],Plano_V3!E102,Table1[Campo],Plano_V3!F102)</f>
        <v>0</v>
      </c>
      <c r="L102" s="186">
        <f t="shared" si="25"/>
        <v>0</v>
      </c>
      <c r="M102" s="180"/>
      <c r="N102" s="180" t="e">
        <f t="shared" si="26"/>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3"/>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4"/>
        <v>1.0125</v>
      </c>
      <c r="K103" s="186">
        <f>SUMIFS(Table1[Horas efetivas],Table1[Tabela],Plano_V3!E103,Table1[Campo],Plano_V3!F103)</f>
        <v>8.1</v>
      </c>
      <c r="L103" s="186">
        <f t="shared" si="25"/>
        <v>1.0125</v>
      </c>
      <c r="M103" s="180"/>
      <c r="N103" s="180">
        <f t="shared" si="26"/>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3"/>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4"/>
        <v>1.0125</v>
      </c>
      <c r="K104" s="186">
        <f>SUMIFS(Table1[Horas efetivas],Table1[Tabela],Plano_V3!E104,Table1[Campo],Plano_V3!F104)</f>
        <v>8.1</v>
      </c>
      <c r="L104" s="186">
        <f t="shared" si="25"/>
        <v>1.0125</v>
      </c>
      <c r="M104" s="180"/>
      <c r="N104" s="180">
        <f t="shared" si="26"/>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3"/>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4"/>
        <v>1.0125</v>
      </c>
      <c r="K105" s="186">
        <f>SUMIFS(Table1[Horas efetivas],Table1[Tabela],Plano_V3!E105,Table1[Campo],Plano_V3!F105)</f>
        <v>8.1</v>
      </c>
      <c r="L105" s="186">
        <f t="shared" si="25"/>
        <v>1.0125</v>
      </c>
      <c r="M105" s="180"/>
      <c r="N105" s="180">
        <f t="shared" si="26"/>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3"/>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4"/>
        <v>1.0125</v>
      </c>
      <c r="K106" s="186">
        <f>SUMIFS(Table1[Horas efetivas],Table1[Tabela],Plano_V3!E106,Table1[Campo],Plano_V3!F106)</f>
        <v>8.1</v>
      </c>
      <c r="L106" s="186">
        <f t="shared" si="25"/>
        <v>1.0125</v>
      </c>
      <c r="M106" s="180"/>
      <c r="N106" s="180">
        <f t="shared" si="26"/>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3"/>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4"/>
        <v>1.0125</v>
      </c>
      <c r="K107" s="186">
        <f>SUMIFS(Table1[Horas efetivas],Table1[Tabela],Plano_V3!E107,Table1[Campo],Plano_V3!F107)</f>
        <v>8.1</v>
      </c>
      <c r="L107" s="186">
        <f t="shared" si="25"/>
        <v>1.0125</v>
      </c>
      <c r="M107" s="180"/>
      <c r="N107" s="180">
        <f t="shared" si="26"/>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3"/>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4"/>
        <v>0</v>
      </c>
      <c r="K108" s="186">
        <f>SUMIFS(Table1[Horas efetivas],Table1[Tabela],Plano_V3!E108,Table1[Campo],Plano_V3!F108)</f>
        <v>0</v>
      </c>
      <c r="L108" s="186">
        <f t="shared" si="25"/>
        <v>0</v>
      </c>
      <c r="M108" s="180"/>
      <c r="N108" s="180" t="e">
        <f t="shared" si="26"/>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3"/>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4"/>
        <v>0</v>
      </c>
      <c r="K109" s="186">
        <f>SUMIFS(Table1[Horas efetivas],Table1[Tabela],Plano_V3!E109,Table1[Campo],Plano_V3!F109)</f>
        <v>0</v>
      </c>
      <c r="L109" s="186">
        <f t="shared" si="25"/>
        <v>0</v>
      </c>
      <c r="M109" s="180"/>
      <c r="N109" s="180" t="e">
        <f t="shared" si="26"/>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3"/>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4"/>
        <v>0.51249999999999996</v>
      </c>
      <c r="K110" s="186">
        <f>SUMIFS(Table1[Horas efetivas],Table1[Tabela],Plano_V3!E110,Table1[Campo],Plano_V3!F110)</f>
        <v>4.0999999999999996</v>
      </c>
      <c r="L110" s="186">
        <f t="shared" si="25"/>
        <v>0.51249999999999996</v>
      </c>
      <c r="M110" s="180"/>
      <c r="N110" s="180">
        <f t="shared" si="26"/>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3"/>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4"/>
        <v>0.51249999999999996</v>
      </c>
      <c r="K111" s="186">
        <f>SUMIFS(Table1[Horas efetivas],Table1[Tabela],Plano_V3!E111,Table1[Campo],Plano_V3!F111)</f>
        <v>4.0999999999999996</v>
      </c>
      <c r="L111" s="186">
        <f t="shared" si="25"/>
        <v>0.51249999999999996</v>
      </c>
      <c r="M111" s="180"/>
      <c r="N111" s="180">
        <f t="shared" si="26"/>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3"/>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4"/>
        <v>1</v>
      </c>
      <c r="K112" s="186">
        <f>SUMIFS(Table1[Horas efetivas],Table1[Tabela],Plano_V3!E112,Table1[Campo],Plano_V3!F112)</f>
        <v>8</v>
      </c>
      <c r="L112" s="186">
        <f t="shared" si="25"/>
        <v>1</v>
      </c>
      <c r="M112" s="180"/>
      <c r="N112" s="180">
        <f t="shared" si="26"/>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3"/>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4"/>
        <v>0.51249999999999996</v>
      </c>
      <c r="K113" s="186">
        <f>SUMIFS(Table1[Horas efetivas],Table1[Tabela],Plano_V3!E113,Table1[Campo],Plano_V3!F113)</f>
        <v>4.0999999999999996</v>
      </c>
      <c r="L113" s="186">
        <f t="shared" si="25"/>
        <v>0.51249999999999996</v>
      </c>
      <c r="M113" s="180"/>
      <c r="N113" s="180">
        <f t="shared" si="26"/>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3"/>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4"/>
        <v>1.0125</v>
      </c>
      <c r="K114" s="186">
        <f>SUMIFS(Table1[Horas efetivas],Table1[Tabela],Plano_V3!E114,Table1[Campo],Plano_V3!F114)</f>
        <v>8.1</v>
      </c>
      <c r="L114" s="186">
        <f t="shared" si="25"/>
        <v>1.0125</v>
      </c>
      <c r="M114" s="180"/>
      <c r="N114" s="180">
        <f t="shared" si="26"/>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3"/>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4"/>
        <v>1.0125</v>
      </c>
      <c r="K115" s="186">
        <f>SUMIFS(Table1[Horas efetivas],Table1[Tabela],Plano_V3!E115,Table1[Campo],Plano_V3!F115)</f>
        <v>8.1</v>
      </c>
      <c r="L115" s="186">
        <f t="shared" si="25"/>
        <v>1.0125</v>
      </c>
      <c r="M115" s="180"/>
      <c r="N115" s="180">
        <f t="shared" si="26"/>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3"/>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4"/>
        <v>1.0125</v>
      </c>
      <c r="K116" s="186">
        <f>SUMIFS(Table1[Horas efetivas],Table1[Tabela],Plano_V3!E116,Table1[Campo],Plano_V3!F116)</f>
        <v>8.1</v>
      </c>
      <c r="L116" s="186">
        <f t="shared" si="25"/>
        <v>1.0125</v>
      </c>
      <c r="M116" s="180"/>
      <c r="N116" s="180">
        <f t="shared" si="26"/>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3"/>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4"/>
        <v>1.0125</v>
      </c>
      <c r="K117" s="186">
        <f>SUMIFS(Table1[Horas efetivas],Table1[Tabela],Plano_V3!E117,Table1[Campo],Plano_V3!F117)</f>
        <v>8.1</v>
      </c>
      <c r="L117" s="186">
        <f t="shared" si="25"/>
        <v>1.0125</v>
      </c>
      <c r="M117" s="180"/>
      <c r="N117" s="180">
        <f t="shared" si="26"/>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3"/>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4"/>
        <v>1.0125</v>
      </c>
      <c r="K118" s="186">
        <f>SUMIFS(Table1[Horas efetivas],Table1[Tabela],Plano_V3!E118,Table1[Campo],Plano_V3!F118)</f>
        <v>8.1</v>
      </c>
      <c r="L118" s="186">
        <f t="shared" si="25"/>
        <v>1.0125</v>
      </c>
      <c r="M118" s="180"/>
      <c r="N118" s="180">
        <f t="shared" si="26"/>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3"/>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4"/>
        <v>0.51249999999999996</v>
      </c>
      <c r="K119" s="186">
        <f>SUMIFS(Table1[Horas efetivas],Table1[Tabela],Plano_V3!E119,Table1[Campo],Plano_V3!F119)</f>
        <v>4.0999999999999996</v>
      </c>
      <c r="L119" s="186">
        <f t="shared" si="25"/>
        <v>0.51249999999999996</v>
      </c>
      <c r="M119" s="180"/>
      <c r="N119" s="180">
        <f t="shared" si="26"/>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3"/>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4"/>
        <v>1.0125</v>
      </c>
      <c r="K120" s="186">
        <f>SUMIFS(Table1[Horas efetivas],Table1[Tabela],Plano_V3!E120,Table1[Campo],Plano_V3!F120)</f>
        <v>8.1</v>
      </c>
      <c r="L120" s="186">
        <f t="shared" si="25"/>
        <v>1.0125</v>
      </c>
      <c r="M120" s="180"/>
      <c r="N120" s="180">
        <f t="shared" si="26"/>
        <v>1</v>
      </c>
      <c r="O120" s="180">
        <f t="shared" ref="O120:O184" si="27">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3"/>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4"/>
        <v>0</v>
      </c>
      <c r="K121" s="186">
        <f>SUMIFS(Table1[Horas efetivas],Table1[Tabela],Plano_V3!E121,Table1[Campo],Plano_V3!F121)</f>
        <v>0</v>
      </c>
      <c r="L121" s="186">
        <f t="shared" si="25"/>
        <v>0</v>
      </c>
      <c r="M121" s="180"/>
      <c r="N121" s="180" t="e">
        <f t="shared" si="26"/>
        <v>#DIV/0!</v>
      </c>
      <c r="O121" s="180" t="e">
        <f t="shared" si="27"/>
        <v>#DIV/0!</v>
      </c>
      <c r="P121" s="89" t="s">
        <v>56</v>
      </c>
      <c r="Q121" s="90">
        <f t="shared" ref="Q121:Q185" si="28">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3"/>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4"/>
        <v>0.51249999999999996</v>
      </c>
      <c r="K122" s="186">
        <f>SUMIFS(Table1[Horas efetivas],Table1[Tabela],Plano_V3!E122,Table1[Campo],Plano_V3!F122)</f>
        <v>4.0999999999999996</v>
      </c>
      <c r="L122" s="186">
        <f t="shared" si="25"/>
        <v>0.51249999999999996</v>
      </c>
      <c r="M122" s="180"/>
      <c r="N122" s="180">
        <f t="shared" si="26"/>
        <v>1</v>
      </c>
      <c r="O122" s="180">
        <f t="shared" si="27"/>
        <v>1</v>
      </c>
      <c r="P122" s="89" t="s">
        <v>56</v>
      </c>
      <c r="Q122" s="90">
        <f t="shared" si="28"/>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3"/>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4"/>
        <v>0.51249999999999996</v>
      </c>
      <c r="K123" s="186">
        <f>SUMIFS(Table1[Horas efetivas],Table1[Tabela],Plano_V3!E123,Table1[Campo],Plano_V3!F123)</f>
        <v>4.0999999999999996</v>
      </c>
      <c r="L123" s="186">
        <f t="shared" si="25"/>
        <v>0.51249999999999996</v>
      </c>
      <c r="M123" s="180"/>
      <c r="N123" s="180">
        <f t="shared" si="26"/>
        <v>1</v>
      </c>
      <c r="O123" s="180">
        <f t="shared" si="27"/>
        <v>1</v>
      </c>
      <c r="P123" s="89" t="s">
        <v>56</v>
      </c>
      <c r="Q123" s="90">
        <f t="shared" si="28"/>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3"/>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4"/>
        <v>0.51249999999999996</v>
      </c>
      <c r="K124" s="186">
        <f>SUMIFS(Table1[Horas efetivas],Table1[Tabela],Plano_V3!E124,Table1[Campo],Plano_V3!F124)</f>
        <v>4.0999999999999996</v>
      </c>
      <c r="L124" s="186">
        <f t="shared" si="25"/>
        <v>0.51249999999999996</v>
      </c>
      <c r="M124" s="180"/>
      <c r="N124" s="180">
        <f t="shared" si="26"/>
        <v>1</v>
      </c>
      <c r="O124" s="180">
        <f t="shared" si="27"/>
        <v>1</v>
      </c>
      <c r="P124" s="89" t="s">
        <v>56</v>
      </c>
      <c r="Q124" s="90">
        <f t="shared" si="28"/>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3"/>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4"/>
        <v>0.51249999999999996</v>
      </c>
      <c r="K125" s="186">
        <f>SUMIFS(Table1[Horas efetivas],Table1[Tabela],Plano_V3!E125,Table1[Campo],Plano_V3!F125)</f>
        <v>4.0999999999999996</v>
      </c>
      <c r="L125" s="186">
        <f t="shared" si="25"/>
        <v>0.51249999999999996</v>
      </c>
      <c r="M125" s="180"/>
      <c r="N125" s="180">
        <f t="shared" si="26"/>
        <v>1</v>
      </c>
      <c r="O125" s="180">
        <f t="shared" si="27"/>
        <v>1</v>
      </c>
      <c r="P125" s="89" t="s">
        <v>56</v>
      </c>
      <c r="Q125" s="90">
        <f t="shared" si="28"/>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3"/>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4"/>
        <v>0.51249999999999996</v>
      </c>
      <c r="K126" s="186">
        <f>SUMIFS(Table1[Horas efetivas],Table1[Tabela],Plano_V3!E126,Table1[Campo],Plano_V3!F126)</f>
        <v>4.0999999999999996</v>
      </c>
      <c r="L126" s="186">
        <f t="shared" si="25"/>
        <v>0.51249999999999996</v>
      </c>
      <c r="M126" s="180"/>
      <c r="N126" s="180">
        <f t="shared" si="26"/>
        <v>1</v>
      </c>
      <c r="O126" s="180">
        <f t="shared" si="27"/>
        <v>1</v>
      </c>
      <c r="P126" s="89" t="s">
        <v>56</v>
      </c>
      <c r="Q126" s="90">
        <f t="shared" si="28"/>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3"/>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4"/>
        <v>0.51249999999999996</v>
      </c>
      <c r="K127" s="186">
        <f>SUMIFS(Table1[Horas efetivas],Table1[Tabela],Plano_V3!E127,Table1[Campo],Plano_V3!F127)</f>
        <v>4.0999999999999996</v>
      </c>
      <c r="L127" s="186">
        <f t="shared" si="25"/>
        <v>0.51249999999999996</v>
      </c>
      <c r="M127" s="180"/>
      <c r="N127" s="180">
        <f t="shared" si="26"/>
        <v>1</v>
      </c>
      <c r="O127" s="180">
        <f t="shared" si="27"/>
        <v>1</v>
      </c>
      <c r="P127" s="89" t="s">
        <v>56</v>
      </c>
      <c r="Q127" s="90">
        <f t="shared" si="28"/>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3"/>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4"/>
        <v>1</v>
      </c>
      <c r="K128" s="186">
        <f>SUMIFS(Table1[Horas efetivas],Table1[Tabela],Plano_V3!E128,Table1[Campo],Plano_V3!F128)</f>
        <v>8</v>
      </c>
      <c r="L128" s="186">
        <f t="shared" si="25"/>
        <v>1</v>
      </c>
      <c r="M128" s="180"/>
      <c r="N128" s="180">
        <f t="shared" si="26"/>
        <v>1</v>
      </c>
      <c r="O128" s="180">
        <f t="shared" si="27"/>
        <v>1</v>
      </c>
      <c r="P128" s="87" t="s">
        <v>95</v>
      </c>
      <c r="Q128" s="90">
        <f t="shared" si="28"/>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3"/>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4"/>
        <v>0</v>
      </c>
      <c r="K129" s="186">
        <f>SUMIFS(Table1[Horas efetivas],Table1[Tabela],Plano_V3!E129,Table1[Campo],Plano_V3!F129)</f>
        <v>4</v>
      </c>
      <c r="L129" s="186">
        <f t="shared" si="25"/>
        <v>0.5</v>
      </c>
      <c r="M129" s="180"/>
      <c r="N129" s="180" t="e">
        <f t="shared" si="26"/>
        <v>#DIV/0!</v>
      </c>
      <c r="O129" s="180" t="e">
        <f t="shared" si="27"/>
        <v>#DIV/0!</v>
      </c>
      <c r="P129" s="87" t="s">
        <v>95</v>
      </c>
      <c r="Q129" s="90">
        <f t="shared" si="28"/>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3"/>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4"/>
        <v>1.0125</v>
      </c>
      <c r="K130" s="186">
        <f>SUMIFS(Table1[Horas efetivas],Table1[Tabela],Plano_V3!E130,Table1[Campo],Plano_V3!F130)</f>
        <v>8.1</v>
      </c>
      <c r="L130" s="186">
        <f t="shared" si="25"/>
        <v>1.0125</v>
      </c>
      <c r="M130" s="180"/>
      <c r="N130" s="180">
        <f t="shared" si="26"/>
        <v>1</v>
      </c>
      <c r="O130" s="180">
        <f t="shared" si="27"/>
        <v>1</v>
      </c>
      <c r="P130" s="87" t="s">
        <v>95</v>
      </c>
      <c r="Q130" s="90">
        <f t="shared" si="28"/>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3"/>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4"/>
        <v>0.51249999999999996</v>
      </c>
      <c r="K131" s="186">
        <f>SUMIFS(Table1[Horas efetivas],Table1[Tabela],Plano_V3!E131,Table1[Campo],Plano_V3!F131)</f>
        <v>4.0999999999999996</v>
      </c>
      <c r="L131" s="186">
        <f t="shared" si="25"/>
        <v>0.51249999999999996</v>
      </c>
      <c r="M131" s="180"/>
      <c r="N131" s="180">
        <f t="shared" si="26"/>
        <v>1</v>
      </c>
      <c r="O131" s="180">
        <f t="shared" si="27"/>
        <v>1</v>
      </c>
      <c r="P131" s="87" t="s">
        <v>95</v>
      </c>
      <c r="Q131" s="90">
        <f t="shared" si="28"/>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3"/>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4"/>
        <v>0.51249999999999996</v>
      </c>
      <c r="K132" s="186">
        <f>SUMIFS(Table1[Horas efetivas],Table1[Tabela],Plano_V3!E132,Table1[Campo],Plano_V3!F132)</f>
        <v>4.0999999999999996</v>
      </c>
      <c r="L132" s="186">
        <f t="shared" si="25"/>
        <v>0.51249999999999996</v>
      </c>
      <c r="M132" s="180"/>
      <c r="N132" s="180">
        <f t="shared" si="26"/>
        <v>1</v>
      </c>
      <c r="O132" s="180">
        <f t="shared" si="27"/>
        <v>1</v>
      </c>
      <c r="P132" s="87" t="s">
        <v>95</v>
      </c>
      <c r="Q132" s="90">
        <f t="shared" si="28"/>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3"/>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4"/>
        <v>0.51249999999999996</v>
      </c>
      <c r="K133" s="186">
        <f>SUMIFS(Table1[Horas efetivas],Table1[Tabela],Plano_V3!E133,Table1[Campo],Plano_V3!F133)</f>
        <v>4.0999999999999996</v>
      </c>
      <c r="L133" s="186">
        <f t="shared" si="25"/>
        <v>0.51249999999999996</v>
      </c>
      <c r="M133" s="180"/>
      <c r="N133" s="180">
        <f t="shared" si="26"/>
        <v>1</v>
      </c>
      <c r="O133" s="180">
        <f t="shared" si="27"/>
        <v>1</v>
      </c>
      <c r="P133" s="87" t="s">
        <v>95</v>
      </c>
      <c r="Q133" s="90">
        <f t="shared" si="28"/>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3"/>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4"/>
        <v>0.51249999999999996</v>
      </c>
      <c r="K134" s="186">
        <f>SUMIFS(Table1[Horas efetivas],Table1[Tabela],Plano_V3!E134,Table1[Campo],Plano_V3!F134)</f>
        <v>4.0999999999999996</v>
      </c>
      <c r="L134" s="186">
        <f t="shared" si="25"/>
        <v>0.51249999999999996</v>
      </c>
      <c r="M134" s="180"/>
      <c r="N134" s="180">
        <f t="shared" si="26"/>
        <v>1</v>
      </c>
      <c r="O134" s="180">
        <f t="shared" si="27"/>
        <v>1</v>
      </c>
      <c r="P134" s="87" t="s">
        <v>95</v>
      </c>
      <c r="Q134" s="90">
        <f t="shared" si="28"/>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3"/>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4"/>
        <v>0.51249999999999996</v>
      </c>
      <c r="K135" s="186">
        <f>SUMIFS(Table1[Horas efetivas],Table1[Tabela],Plano_V3!E135,Table1[Campo],Plano_V3!F135)</f>
        <v>4.0999999999999996</v>
      </c>
      <c r="L135" s="186">
        <f t="shared" si="25"/>
        <v>0.51249999999999996</v>
      </c>
      <c r="M135" s="180"/>
      <c r="N135" s="180">
        <f t="shared" si="26"/>
        <v>1</v>
      </c>
      <c r="O135" s="180">
        <f t="shared" si="27"/>
        <v>1</v>
      </c>
      <c r="P135" s="87" t="s">
        <v>95</v>
      </c>
      <c r="Q135" s="90">
        <f t="shared" si="28"/>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9">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4"/>
        <v>0.51249999999999996</v>
      </c>
      <c r="K136" s="186">
        <f>SUMIFS(Table1[Horas efetivas],Table1[Tabela],Plano_V3!E136,Table1[Campo],Plano_V3!F136)</f>
        <v>4.0999999999999996</v>
      </c>
      <c r="L136" s="186">
        <f t="shared" si="25"/>
        <v>0.51249999999999996</v>
      </c>
      <c r="M136" s="180"/>
      <c r="N136" s="180">
        <f t="shared" si="26"/>
        <v>1</v>
      </c>
      <c r="O136" s="180">
        <f t="shared" si="27"/>
        <v>1</v>
      </c>
      <c r="P136" s="87" t="s">
        <v>95</v>
      </c>
      <c r="Q136" s="90">
        <f t="shared" si="28"/>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9"/>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30">I137/8</f>
        <v>0</v>
      </c>
      <c r="K137" s="186">
        <f>SUMIFS(Table1[Horas efetivas],Table1[Tabela],Plano_V3!E137,Table1[Campo],Plano_V3!F137)</f>
        <v>0</v>
      </c>
      <c r="L137" s="186">
        <f t="shared" ref="L137:L201" si="31">K137/8</f>
        <v>0</v>
      </c>
      <c r="M137" s="180"/>
      <c r="N137" s="180" t="e">
        <f t="shared" ref="N137:N201" si="32">L137/J137</f>
        <v>#DIV/0!</v>
      </c>
      <c r="O137" s="180" t="e">
        <f t="shared" si="27"/>
        <v>#DIV/0!</v>
      </c>
      <c r="P137" s="87" t="s">
        <v>95</v>
      </c>
      <c r="Q137" s="90">
        <f t="shared" si="28"/>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9"/>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30"/>
        <v>0.51249999999999996</v>
      </c>
      <c r="K138" s="186">
        <f>SUMIFS(Table1[Horas efetivas],Table1[Tabela],Plano_V3!E138,Table1[Campo],Plano_V3!F138)</f>
        <v>4.0999999999999996</v>
      </c>
      <c r="L138" s="186">
        <f t="shared" si="31"/>
        <v>0.51249999999999996</v>
      </c>
      <c r="M138" s="180"/>
      <c r="N138" s="180">
        <f t="shared" si="32"/>
        <v>1</v>
      </c>
      <c r="O138" s="180">
        <f t="shared" si="27"/>
        <v>1</v>
      </c>
      <c r="P138" s="87" t="s">
        <v>95</v>
      </c>
      <c r="Q138" s="90">
        <f t="shared" si="28"/>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9"/>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30"/>
        <v>0.51249999999999996</v>
      </c>
      <c r="K139" s="186">
        <f>SUMIFS(Table1[Horas efetivas],Table1[Tabela],Plano_V3!E139,Table1[Campo],Plano_V3!F139)</f>
        <v>4.0999999999999996</v>
      </c>
      <c r="L139" s="186">
        <f t="shared" si="31"/>
        <v>0.51249999999999996</v>
      </c>
      <c r="M139" s="180"/>
      <c r="N139" s="180">
        <f t="shared" si="32"/>
        <v>1</v>
      </c>
      <c r="O139" s="180">
        <f t="shared" si="27"/>
        <v>1</v>
      </c>
      <c r="P139" s="87" t="s">
        <v>95</v>
      </c>
      <c r="Q139" s="90">
        <f t="shared" si="28"/>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9"/>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30"/>
        <v>0.51249999999999996</v>
      </c>
      <c r="K140" s="186">
        <f>SUMIFS(Table1[Horas efetivas],Table1[Tabela],Plano_V3!E140,Table1[Campo],Plano_V3!F140)</f>
        <v>4.0999999999999996</v>
      </c>
      <c r="L140" s="186">
        <f t="shared" si="31"/>
        <v>0.51249999999999996</v>
      </c>
      <c r="M140" s="180"/>
      <c r="N140" s="180">
        <f t="shared" si="32"/>
        <v>1</v>
      </c>
      <c r="O140" s="180">
        <f t="shared" si="27"/>
        <v>1</v>
      </c>
      <c r="P140" s="87" t="s">
        <v>95</v>
      </c>
      <c r="Q140" s="90">
        <f t="shared" si="28"/>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9"/>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30"/>
        <v>0.51249999999999996</v>
      </c>
      <c r="K141" s="186">
        <f>SUMIFS(Table1[Horas efetivas],Table1[Tabela],Plano_V3!E141,Table1[Campo],Plano_V3!F141)</f>
        <v>4.0999999999999996</v>
      </c>
      <c r="L141" s="186">
        <f t="shared" si="31"/>
        <v>0.51249999999999996</v>
      </c>
      <c r="M141" s="180"/>
      <c r="N141" s="180">
        <f t="shared" si="32"/>
        <v>1</v>
      </c>
      <c r="O141" s="180">
        <f t="shared" si="27"/>
        <v>1</v>
      </c>
      <c r="P141" s="87" t="s">
        <v>95</v>
      </c>
      <c r="Q141" s="90">
        <f t="shared" si="28"/>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9"/>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30"/>
        <v>0.51249999999999996</v>
      </c>
      <c r="K142" s="186">
        <f>SUMIFS(Table1[Horas efetivas],Table1[Tabela],Plano_V3!E142,Table1[Campo],Plano_V3!F142)</f>
        <v>4.0999999999999996</v>
      </c>
      <c r="L142" s="186">
        <f t="shared" si="31"/>
        <v>0.51249999999999996</v>
      </c>
      <c r="M142" s="180"/>
      <c r="N142" s="180">
        <f t="shared" si="32"/>
        <v>1</v>
      </c>
      <c r="O142" s="180">
        <f t="shared" si="27"/>
        <v>1</v>
      </c>
      <c r="P142" s="87" t="s">
        <v>95</v>
      </c>
      <c r="Q142" s="90">
        <f t="shared" si="28"/>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9"/>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30"/>
        <v>0.51249999999999996</v>
      </c>
      <c r="K143" s="186">
        <f>SUMIFS(Table1[Horas efetivas],Table1[Tabela],Plano_V3!E143,Table1[Campo],Plano_V3!F143)</f>
        <v>4.0999999999999996</v>
      </c>
      <c r="L143" s="186">
        <f t="shared" si="31"/>
        <v>0.51249999999999996</v>
      </c>
      <c r="M143" s="180"/>
      <c r="N143" s="180">
        <f t="shared" si="32"/>
        <v>1</v>
      </c>
      <c r="O143" s="180">
        <f t="shared" si="27"/>
        <v>1</v>
      </c>
      <c r="P143" s="87" t="s">
        <v>95</v>
      </c>
      <c r="Q143" s="90">
        <f t="shared" si="28"/>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9"/>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30"/>
        <v>0.51249999999999996</v>
      </c>
      <c r="K144" s="186">
        <f>SUMIFS(Table1[Horas efetivas],Table1[Tabela],Plano_V3!E144,Table1[Campo],Plano_V3!F144)</f>
        <v>4.0999999999999996</v>
      </c>
      <c r="L144" s="186">
        <f t="shared" si="31"/>
        <v>0.51249999999999996</v>
      </c>
      <c r="M144" s="180"/>
      <c r="N144" s="180">
        <f t="shared" si="32"/>
        <v>1</v>
      </c>
      <c r="O144" s="180">
        <f t="shared" si="27"/>
        <v>1</v>
      </c>
      <c r="P144" s="87" t="s">
        <v>95</v>
      </c>
      <c r="Q144" s="90">
        <f t="shared" si="28"/>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9"/>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30"/>
        <v>0.51249999999999996</v>
      </c>
      <c r="K145" s="186">
        <f>SUMIFS(Table1[Horas efetivas],Table1[Tabela],Plano_V3!E145,Table1[Campo],Plano_V3!F145)</f>
        <v>4.0999999999999996</v>
      </c>
      <c r="L145" s="186">
        <f t="shared" si="31"/>
        <v>0.51249999999999996</v>
      </c>
      <c r="M145" s="180"/>
      <c r="N145" s="180">
        <f t="shared" si="32"/>
        <v>1</v>
      </c>
      <c r="O145" s="180">
        <f t="shared" si="27"/>
        <v>1</v>
      </c>
      <c r="P145" s="87" t="s">
        <v>95</v>
      </c>
      <c r="Q145" s="90">
        <f t="shared" si="28"/>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9"/>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30"/>
        <v>0.51249999999999996</v>
      </c>
      <c r="K146" s="186">
        <f>SUMIFS(Table1[Horas efetivas],Table1[Tabela],Plano_V3!E146,Table1[Campo],Plano_V3!F146)</f>
        <v>4.0999999999999996</v>
      </c>
      <c r="L146" s="186">
        <f t="shared" si="31"/>
        <v>0.51249999999999996</v>
      </c>
      <c r="M146" s="180"/>
      <c r="N146" s="180">
        <f t="shared" si="32"/>
        <v>1</v>
      </c>
      <c r="O146" s="180">
        <f t="shared" si="27"/>
        <v>1</v>
      </c>
      <c r="P146" s="87" t="s">
        <v>95</v>
      </c>
      <c r="Q146" s="90">
        <f t="shared" si="28"/>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9"/>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30"/>
        <v>0.51249999999999996</v>
      </c>
      <c r="K147" s="186">
        <f>SUMIFS(Table1[Horas efetivas],Table1[Tabela],Plano_V3!E147,Table1[Campo],Plano_V3!F147)</f>
        <v>4.0999999999999996</v>
      </c>
      <c r="L147" s="186">
        <f t="shared" si="31"/>
        <v>0.51249999999999996</v>
      </c>
      <c r="M147" s="180"/>
      <c r="N147" s="180">
        <f t="shared" si="32"/>
        <v>1</v>
      </c>
      <c r="O147" s="180">
        <f t="shared" si="27"/>
        <v>1</v>
      </c>
      <c r="P147" s="87" t="s">
        <v>95</v>
      </c>
      <c r="Q147" s="90">
        <f t="shared" si="28"/>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9"/>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30"/>
        <v>0.51249999999999996</v>
      </c>
      <c r="K148" s="186">
        <f>SUMIFS(Table1[Horas efetivas],Table1[Tabela],Plano_V3!E148,Table1[Campo],Plano_V3!F148)</f>
        <v>4.0999999999999996</v>
      </c>
      <c r="L148" s="186">
        <f t="shared" si="31"/>
        <v>0.51249999999999996</v>
      </c>
      <c r="M148" s="180"/>
      <c r="N148" s="180">
        <f t="shared" si="32"/>
        <v>1</v>
      </c>
      <c r="O148" s="180">
        <f t="shared" si="27"/>
        <v>1</v>
      </c>
      <c r="P148" s="87" t="s">
        <v>95</v>
      </c>
      <c r="Q148" s="90">
        <f t="shared" si="28"/>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9"/>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30"/>
        <v>0.51249999999999996</v>
      </c>
      <c r="K149" s="186">
        <f>SUMIFS(Table1[Horas efetivas],Table1[Tabela],Plano_V3!E149,Table1[Campo],Plano_V3!F149)</f>
        <v>4.0999999999999996</v>
      </c>
      <c r="L149" s="186">
        <f t="shared" si="31"/>
        <v>0.51249999999999996</v>
      </c>
      <c r="M149" s="180"/>
      <c r="N149" s="180">
        <f t="shared" si="32"/>
        <v>1</v>
      </c>
      <c r="O149" s="180">
        <f t="shared" si="27"/>
        <v>1</v>
      </c>
      <c r="P149" s="87" t="s">
        <v>95</v>
      </c>
      <c r="Q149" s="90">
        <f t="shared" si="28"/>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9"/>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30"/>
        <v>0.51249999999999996</v>
      </c>
      <c r="K150" s="186">
        <f>SUMIFS(Table1[Horas efetivas],Table1[Tabela],Plano_V3!E150,Table1[Campo],Plano_V3!F150)</f>
        <v>4.0999999999999996</v>
      </c>
      <c r="L150" s="186">
        <f t="shared" si="31"/>
        <v>0.51249999999999996</v>
      </c>
      <c r="M150" s="180"/>
      <c r="N150" s="180">
        <f t="shared" si="32"/>
        <v>1</v>
      </c>
      <c r="O150" s="180">
        <f t="shared" si="27"/>
        <v>1</v>
      </c>
      <c r="P150" s="87" t="s">
        <v>95</v>
      </c>
      <c r="Q150" s="90">
        <f t="shared" si="28"/>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9"/>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30"/>
        <v>0.51249999999999996</v>
      </c>
      <c r="K151" s="186">
        <f>SUMIFS(Table1[Horas efetivas],Table1[Tabela],Plano_V3!E151,Table1[Campo],Plano_V3!F151)</f>
        <v>4.0999999999999996</v>
      </c>
      <c r="L151" s="186">
        <f t="shared" si="31"/>
        <v>0.51249999999999996</v>
      </c>
      <c r="M151" s="180"/>
      <c r="N151" s="180">
        <f t="shared" si="32"/>
        <v>1</v>
      </c>
      <c r="O151" s="180">
        <f t="shared" si="27"/>
        <v>1</v>
      </c>
      <c r="P151" s="87" t="s">
        <v>95</v>
      </c>
      <c r="Q151" s="90">
        <f t="shared" si="28"/>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9"/>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30"/>
        <v>0.51249999999999996</v>
      </c>
      <c r="K152" s="186">
        <f>SUMIFS(Table1[Horas efetivas],Table1[Tabela],Plano_V3!E152,Table1[Campo],Plano_V3!F152)</f>
        <v>4.0999999999999996</v>
      </c>
      <c r="L152" s="186">
        <f t="shared" si="31"/>
        <v>0.51249999999999996</v>
      </c>
      <c r="M152" s="180"/>
      <c r="N152" s="180">
        <f t="shared" si="32"/>
        <v>1</v>
      </c>
      <c r="O152" s="180">
        <f t="shared" si="27"/>
        <v>1</v>
      </c>
      <c r="P152" s="87" t="s">
        <v>95</v>
      </c>
      <c r="Q152" s="90">
        <f t="shared" si="28"/>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9"/>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30"/>
        <v>0.51249999999999996</v>
      </c>
      <c r="K153" s="186">
        <f>SUMIFS(Table1[Horas efetivas],Table1[Tabela],Plano_V3!E153,Table1[Campo],Plano_V3!F153)</f>
        <v>4.0999999999999996</v>
      </c>
      <c r="L153" s="186">
        <f t="shared" si="31"/>
        <v>0.51249999999999996</v>
      </c>
      <c r="M153" s="180"/>
      <c r="N153" s="180">
        <f t="shared" si="32"/>
        <v>1</v>
      </c>
      <c r="O153" s="180">
        <f t="shared" si="27"/>
        <v>1</v>
      </c>
      <c r="P153" s="87" t="s">
        <v>95</v>
      </c>
      <c r="Q153" s="90">
        <f t="shared" si="28"/>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9"/>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30"/>
        <v>0.51249999999999996</v>
      </c>
      <c r="K154" s="186">
        <f>SUMIFS(Table1[Horas efetivas],Table1[Tabela],Plano_V3!E154,Table1[Campo],Plano_V3!F154)</f>
        <v>4.0999999999999996</v>
      </c>
      <c r="L154" s="186">
        <f t="shared" si="31"/>
        <v>0.51249999999999996</v>
      </c>
      <c r="M154" s="180"/>
      <c r="N154" s="180">
        <f t="shared" si="32"/>
        <v>1</v>
      </c>
      <c r="O154" s="180">
        <f t="shared" si="27"/>
        <v>1</v>
      </c>
      <c r="P154" s="87" t="s">
        <v>95</v>
      </c>
      <c r="Q154" s="90">
        <f t="shared" si="28"/>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9"/>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30"/>
        <v>0.51249999999999996</v>
      </c>
      <c r="K155" s="186">
        <f>SUMIFS(Table1[Horas efetivas],Table1[Tabela],Plano_V3!E155,Table1[Campo],Plano_V3!F155)</f>
        <v>4.0999999999999996</v>
      </c>
      <c r="L155" s="186">
        <f t="shared" si="31"/>
        <v>0.51249999999999996</v>
      </c>
      <c r="M155" s="180"/>
      <c r="N155" s="180">
        <f t="shared" si="32"/>
        <v>1</v>
      </c>
      <c r="O155" s="180">
        <f t="shared" si="27"/>
        <v>1</v>
      </c>
      <c r="P155" s="87" t="s">
        <v>95</v>
      </c>
      <c r="Q155" s="90">
        <f t="shared" si="28"/>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9"/>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30"/>
        <v>0.51249999999999996</v>
      </c>
      <c r="K156" s="186">
        <f>SUMIFS(Table1[Horas efetivas],Table1[Tabela],Plano_V3!E156,Table1[Campo],Plano_V3!F156)</f>
        <v>0</v>
      </c>
      <c r="L156" s="186">
        <f t="shared" si="31"/>
        <v>0</v>
      </c>
      <c r="M156" s="180"/>
      <c r="N156" s="180">
        <f t="shared" si="32"/>
        <v>0</v>
      </c>
      <c r="O156" s="180">
        <f t="shared" si="27"/>
        <v>0</v>
      </c>
      <c r="P156" s="87" t="s">
        <v>95</v>
      </c>
      <c r="Q156" s="90">
        <f t="shared" si="28"/>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9"/>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30"/>
        <v>1.0125</v>
      </c>
      <c r="K157" s="186">
        <f>SUMIFS(Table1[Horas efetivas],Table1[Tabela],Plano_V3!E157,Table1[Campo],Plano_V3!F157)</f>
        <v>8.1</v>
      </c>
      <c r="L157" s="186">
        <f t="shared" si="31"/>
        <v>1.0125</v>
      </c>
      <c r="M157" s="180"/>
      <c r="N157" s="180">
        <f t="shared" si="32"/>
        <v>1</v>
      </c>
      <c r="O157" s="180">
        <f t="shared" si="27"/>
        <v>1</v>
      </c>
      <c r="P157" s="87" t="s">
        <v>95</v>
      </c>
      <c r="Q157" s="90">
        <f t="shared" si="28"/>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9"/>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30"/>
        <v>1.0125</v>
      </c>
      <c r="K158" s="186">
        <f>SUMIFS(Table1[Horas efetivas],Table1[Tabela],Plano_V3!E158,Table1[Campo],Plano_V3!F158)</f>
        <v>8.1</v>
      </c>
      <c r="L158" s="186">
        <f t="shared" si="31"/>
        <v>1.0125</v>
      </c>
      <c r="M158" s="180"/>
      <c r="N158" s="180">
        <f t="shared" si="32"/>
        <v>1</v>
      </c>
      <c r="O158" s="180">
        <f t="shared" si="27"/>
        <v>1</v>
      </c>
      <c r="P158" s="87" t="s">
        <v>95</v>
      </c>
      <c r="Q158" s="90">
        <f t="shared" si="28"/>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9"/>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30"/>
        <v>0.51249999999999996</v>
      </c>
      <c r="K159" s="186">
        <f>SUMIFS(Table1[Horas efetivas],Table1[Tabela],Plano_V3!E159,Table1[Campo],Plano_V3!F159)</f>
        <v>4.0999999999999996</v>
      </c>
      <c r="L159" s="186">
        <f t="shared" si="31"/>
        <v>0.51249999999999996</v>
      </c>
      <c r="M159" s="180"/>
      <c r="N159" s="180">
        <f t="shared" si="32"/>
        <v>1</v>
      </c>
      <c r="O159" s="180">
        <f t="shared" si="27"/>
        <v>1</v>
      </c>
      <c r="P159" s="87" t="s">
        <v>95</v>
      </c>
      <c r="Q159" s="90">
        <f t="shared" si="28"/>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9"/>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30"/>
        <v>0.51249999999999996</v>
      </c>
      <c r="K160" s="186">
        <f>SUMIFS(Table1[Horas efetivas],Table1[Tabela],Plano_V3!E160,Table1[Campo],Plano_V3!F160)</f>
        <v>4.0999999999999996</v>
      </c>
      <c r="L160" s="186">
        <f t="shared" si="31"/>
        <v>0.51249999999999996</v>
      </c>
      <c r="M160" s="180"/>
      <c r="N160" s="180">
        <f t="shared" si="32"/>
        <v>1</v>
      </c>
      <c r="O160" s="180">
        <f t="shared" si="27"/>
        <v>1</v>
      </c>
      <c r="P160" s="87" t="s">
        <v>95</v>
      </c>
      <c r="Q160" s="90">
        <f t="shared" si="28"/>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ref="A161" si="33">E161&amp;F161</f>
        <v>PROPERTYPROPERTY_CODE</v>
      </c>
      <c r="B161" s="67"/>
      <c r="C161" s="68"/>
      <c r="D161" s="64" t="s">
        <v>40</v>
      </c>
      <c r="E161" s="66" t="s">
        <v>94</v>
      </c>
      <c r="F161" s="66" t="s">
        <v>2225</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32"/>
        <v>1</v>
      </c>
      <c r="O161" s="180">
        <f t="shared" si="27"/>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9"/>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30"/>
        <v>1</v>
      </c>
      <c r="K162" s="186">
        <f>SUMIFS(Table1[Horas efetivas],Table1[Tabela],Plano_V3!E162,Table1[Campo],Plano_V3!F162)</f>
        <v>8</v>
      </c>
      <c r="L162" s="186">
        <f t="shared" si="31"/>
        <v>1</v>
      </c>
      <c r="M162" s="180"/>
      <c r="N162" s="180">
        <f t="shared" si="32"/>
        <v>1</v>
      </c>
      <c r="O162" s="180">
        <f t="shared" si="27"/>
        <v>1</v>
      </c>
      <c r="P162" s="87" t="s">
        <v>124</v>
      </c>
      <c r="Q162" s="90">
        <f t="shared" si="28"/>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9"/>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30"/>
        <v>0.51249999999999996</v>
      </c>
      <c r="K163" s="186">
        <f>SUMIFS(Table1[Horas efetivas],Table1[Tabela],Plano_V3!E163,Table1[Campo],Plano_V3!F163)</f>
        <v>4.0999999999999996</v>
      </c>
      <c r="L163" s="186">
        <f t="shared" si="31"/>
        <v>0.51249999999999996</v>
      </c>
      <c r="M163" s="180"/>
      <c r="N163" s="180">
        <f t="shared" si="32"/>
        <v>1</v>
      </c>
      <c r="O163" s="180">
        <f t="shared" si="27"/>
        <v>1</v>
      </c>
      <c r="P163" s="87" t="s">
        <v>124</v>
      </c>
      <c r="Q163" s="90">
        <f t="shared" si="28"/>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9"/>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30"/>
        <v>0.51249999999999996</v>
      </c>
      <c r="K164" s="186">
        <f>SUMIFS(Table1[Horas efetivas],Table1[Tabela],Plano_V3!E164,Table1[Campo],Plano_V3!F164)</f>
        <v>4.0999999999999996</v>
      </c>
      <c r="L164" s="186">
        <f t="shared" si="31"/>
        <v>0.51249999999999996</v>
      </c>
      <c r="M164" s="180"/>
      <c r="N164" s="180">
        <f t="shared" si="32"/>
        <v>1</v>
      </c>
      <c r="O164" s="180">
        <f t="shared" si="27"/>
        <v>1</v>
      </c>
      <c r="P164" s="87" t="s">
        <v>124</v>
      </c>
      <c r="Q164" s="90">
        <f t="shared" si="28"/>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9"/>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30"/>
        <v>0.51249999999999996</v>
      </c>
      <c r="K165" s="186">
        <f>SUMIFS(Table1[Horas efetivas],Table1[Tabela],Plano_V3!E165,Table1[Campo],Plano_V3!F165)</f>
        <v>4.0999999999999996</v>
      </c>
      <c r="L165" s="186">
        <f t="shared" si="31"/>
        <v>0.51249999999999996</v>
      </c>
      <c r="M165" s="180"/>
      <c r="N165" s="180">
        <f t="shared" si="32"/>
        <v>1</v>
      </c>
      <c r="O165" s="180">
        <f t="shared" si="27"/>
        <v>1</v>
      </c>
      <c r="P165" s="87" t="s">
        <v>124</v>
      </c>
      <c r="Q165" s="90">
        <f t="shared" si="28"/>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9"/>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30"/>
        <v>0.51249999999999996</v>
      </c>
      <c r="K166" s="186">
        <f>SUMIFS(Table1[Horas efetivas],Table1[Tabela],Plano_V3!E166,Table1[Campo],Plano_V3!F166)</f>
        <v>4.0999999999999996</v>
      </c>
      <c r="L166" s="186">
        <f t="shared" si="31"/>
        <v>0.51249999999999996</v>
      </c>
      <c r="M166" s="180"/>
      <c r="N166" s="180">
        <f t="shared" si="32"/>
        <v>1</v>
      </c>
      <c r="O166" s="180">
        <f t="shared" si="27"/>
        <v>1</v>
      </c>
      <c r="P166" s="87" t="s">
        <v>124</v>
      </c>
      <c r="Q166" s="90">
        <f t="shared" si="28"/>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9"/>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30"/>
        <v>0.51249999999999996</v>
      </c>
      <c r="K167" s="186">
        <f>SUMIFS(Table1[Horas efetivas],Table1[Tabela],Plano_V3!E167,Table1[Campo],Plano_V3!F167)</f>
        <v>4.0999999999999996</v>
      </c>
      <c r="L167" s="186">
        <f t="shared" si="31"/>
        <v>0.51249999999999996</v>
      </c>
      <c r="M167" s="180"/>
      <c r="N167" s="180">
        <f t="shared" si="32"/>
        <v>1</v>
      </c>
      <c r="O167" s="180">
        <f t="shared" si="27"/>
        <v>1</v>
      </c>
      <c r="P167" s="87" t="s">
        <v>124</v>
      </c>
      <c r="Q167" s="90">
        <f t="shared" si="28"/>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9"/>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30"/>
        <v>0.51249999999999996</v>
      </c>
      <c r="K168" s="186">
        <f>SUMIFS(Table1[Horas efetivas],Table1[Tabela],Plano_V3!E168,Table1[Campo],Plano_V3!F168)</f>
        <v>4.0999999999999996</v>
      </c>
      <c r="L168" s="186">
        <f t="shared" si="31"/>
        <v>0.51249999999999996</v>
      </c>
      <c r="M168" s="180"/>
      <c r="N168" s="180">
        <f t="shared" si="32"/>
        <v>1</v>
      </c>
      <c r="O168" s="180">
        <f t="shared" si="27"/>
        <v>1</v>
      </c>
      <c r="P168" s="87" t="s">
        <v>124</v>
      </c>
      <c r="Q168" s="90">
        <f t="shared" si="28"/>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9"/>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30"/>
        <v>0.51249999999999996</v>
      </c>
      <c r="K169" s="186">
        <f>SUMIFS(Table1[Horas efetivas],Table1[Tabela],Plano_V3!E169,Table1[Campo],Plano_V3!F169)</f>
        <v>4.0999999999999996</v>
      </c>
      <c r="L169" s="186">
        <f t="shared" si="31"/>
        <v>0.51249999999999996</v>
      </c>
      <c r="M169" s="180"/>
      <c r="N169" s="180">
        <f t="shared" si="32"/>
        <v>1</v>
      </c>
      <c r="O169" s="180">
        <f t="shared" si="27"/>
        <v>1</v>
      </c>
      <c r="P169" s="87" t="s">
        <v>124</v>
      </c>
      <c r="Q169" s="90">
        <f t="shared" si="28"/>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9"/>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30"/>
        <v>0.51249999999999996</v>
      </c>
      <c r="K170" s="186">
        <f>SUMIFS(Table1[Horas efetivas],Table1[Tabela],Plano_V3!E170,Table1[Campo],Plano_V3!F170)</f>
        <v>4.0999999999999996</v>
      </c>
      <c r="L170" s="186">
        <f t="shared" si="31"/>
        <v>0.51249999999999996</v>
      </c>
      <c r="M170" s="180"/>
      <c r="N170" s="180">
        <f t="shared" si="32"/>
        <v>1</v>
      </c>
      <c r="O170" s="180">
        <f t="shared" si="27"/>
        <v>1</v>
      </c>
      <c r="P170" s="87" t="s">
        <v>124</v>
      </c>
      <c r="Q170" s="90">
        <f t="shared" si="28"/>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9"/>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30"/>
        <v>0.51249999999999996</v>
      </c>
      <c r="K171" s="186">
        <f>SUMIFS(Table1[Horas efetivas],Table1[Tabela],Plano_V3!E171,Table1[Campo],Plano_V3!F171)</f>
        <v>4.0999999999999996</v>
      </c>
      <c r="L171" s="186">
        <f t="shared" si="31"/>
        <v>0.51249999999999996</v>
      </c>
      <c r="M171" s="180"/>
      <c r="N171" s="180">
        <f t="shared" si="32"/>
        <v>1</v>
      </c>
      <c r="O171" s="180">
        <f t="shared" si="27"/>
        <v>1</v>
      </c>
      <c r="P171" s="87" t="s">
        <v>124</v>
      </c>
      <c r="Q171" s="90">
        <f t="shared" si="28"/>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9"/>
        <v>PROPERTY_ENERGY_CERTIFICATEEPC</v>
      </c>
      <c r="B172" s="67" t="s">
        <v>26</v>
      </c>
      <c r="C172" s="68" t="s">
        <v>54</v>
      </c>
      <c r="D172" s="64" t="s">
        <v>40</v>
      </c>
      <c r="E172" s="66" t="s">
        <v>123</v>
      </c>
      <c r="F172" s="66" t="s">
        <v>47</v>
      </c>
      <c r="G172" s="64" t="str">
        <f>INDEX(Auxiliar!$B$16:$B$24,MATCH(Plano_V3!H172,Auxiliar!$C$16:$C$24,0),1)</f>
        <v>6. Em implementação (re-especificação)</v>
      </c>
      <c r="H172" s="64">
        <f>VLOOKUP(A172,'Aux - pivots1'!$A:$B,2,0)</f>
        <v>7</v>
      </c>
      <c r="I172" s="186">
        <f>SUMIFS(Table1[Estimação (horas)],Table1[Tabela],Plano_V3!E172,Table1[Campo],Plano_V3!F172)</f>
        <v>4.0999999999999996</v>
      </c>
      <c r="J172" s="186">
        <f t="shared" si="30"/>
        <v>0.51249999999999996</v>
      </c>
      <c r="K172" s="186">
        <f>SUMIFS(Table1[Horas efetivas],Table1[Tabela],Plano_V3!E172,Table1[Campo],Plano_V3!F172)</f>
        <v>1.0249999999999999</v>
      </c>
      <c r="L172" s="186">
        <f t="shared" si="31"/>
        <v>0.12812499999999999</v>
      </c>
      <c r="M172" s="180"/>
      <c r="N172" s="180">
        <f t="shared" si="32"/>
        <v>0.25</v>
      </c>
      <c r="O172" s="180">
        <f t="shared" si="27"/>
        <v>0.25</v>
      </c>
      <c r="P172" s="87" t="s">
        <v>124</v>
      </c>
      <c r="Q172" s="90">
        <f t="shared" si="28"/>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9"/>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30"/>
        <v>0.51249999999999996</v>
      </c>
      <c r="K173" s="186">
        <f>SUMIFS(Table1[Horas efetivas],Table1[Tabela],Plano_V3!E173,Table1[Campo],Plano_V3!F173)</f>
        <v>4.0999999999999996</v>
      </c>
      <c r="L173" s="186">
        <f t="shared" si="31"/>
        <v>0.51249999999999996</v>
      </c>
      <c r="M173" s="180"/>
      <c r="N173" s="180">
        <f t="shared" si="32"/>
        <v>1</v>
      </c>
      <c r="O173" s="180">
        <f t="shared" si="27"/>
        <v>1</v>
      </c>
      <c r="P173" s="87" t="s">
        <v>124</v>
      </c>
      <c r="Q173" s="90">
        <f t="shared" si="28"/>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9"/>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30"/>
        <v>0.51249999999999996</v>
      </c>
      <c r="K174" s="186">
        <f>SUMIFS(Table1[Horas efetivas],Table1[Tabela],Plano_V3!E174,Table1[Campo],Plano_V3!F174)</f>
        <v>4.0999999999999996</v>
      </c>
      <c r="L174" s="186">
        <f t="shared" si="31"/>
        <v>0.51249999999999996</v>
      </c>
      <c r="M174" s="180"/>
      <c r="N174" s="180">
        <f t="shared" si="32"/>
        <v>1</v>
      </c>
      <c r="O174" s="180">
        <f t="shared" si="27"/>
        <v>1</v>
      </c>
      <c r="P174" s="87" t="s">
        <v>124</v>
      </c>
      <c r="Q174" s="90">
        <f t="shared" si="28"/>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9"/>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30"/>
        <v>0.51249999999999996</v>
      </c>
      <c r="K175" s="186">
        <f>SUMIFS(Table1[Horas efetivas],Table1[Tabela],Plano_V3!E175,Table1[Campo],Plano_V3!F175)</f>
        <v>4.0999999999999996</v>
      </c>
      <c r="L175" s="186">
        <f t="shared" si="31"/>
        <v>0.51249999999999996</v>
      </c>
      <c r="M175" s="180"/>
      <c r="N175" s="180">
        <f t="shared" si="32"/>
        <v>1</v>
      </c>
      <c r="O175" s="180">
        <f t="shared" si="27"/>
        <v>1</v>
      </c>
      <c r="P175" s="87" t="s">
        <v>124</v>
      </c>
      <c r="Q175" s="90">
        <f t="shared" si="28"/>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9"/>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30"/>
        <v>0.51249999999999996</v>
      </c>
      <c r="K176" s="186">
        <f>SUMIFS(Table1[Horas efetivas],Table1[Tabela],Plano_V3!E176,Table1[Campo],Plano_V3!F176)</f>
        <v>4.0999999999999996</v>
      </c>
      <c r="L176" s="186">
        <f t="shared" si="31"/>
        <v>0.51249999999999996</v>
      </c>
      <c r="M176" s="180"/>
      <c r="N176" s="180">
        <f t="shared" si="32"/>
        <v>1</v>
      </c>
      <c r="O176" s="180">
        <f t="shared" si="27"/>
        <v>1</v>
      </c>
      <c r="P176" s="87" t="s">
        <v>124</v>
      </c>
      <c r="Q176" s="90">
        <f t="shared" si="28"/>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9"/>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30"/>
        <v>0.51249999999999996</v>
      </c>
      <c r="K177" s="186">
        <f>SUMIFS(Table1[Horas efetivas],Table1[Tabela],Plano_V3!E177,Table1[Campo],Plano_V3!F177)</f>
        <v>4.0999999999999996</v>
      </c>
      <c r="L177" s="186">
        <f t="shared" si="31"/>
        <v>0.51249999999999996</v>
      </c>
      <c r="M177" s="180"/>
      <c r="N177" s="180">
        <f t="shared" si="32"/>
        <v>1</v>
      </c>
      <c r="O177" s="180">
        <f t="shared" si="27"/>
        <v>1</v>
      </c>
      <c r="P177" s="87" t="s">
        <v>124</v>
      </c>
      <c r="Q177" s="90">
        <f t="shared" si="28"/>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9"/>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30"/>
        <v>0.51249999999999996</v>
      </c>
      <c r="K178" s="186">
        <f>SUMIFS(Table1[Horas efetivas],Table1[Tabela],Plano_V3!E178,Table1[Campo],Plano_V3!F178)</f>
        <v>4.0999999999999996</v>
      </c>
      <c r="L178" s="186">
        <f t="shared" si="31"/>
        <v>0.51249999999999996</v>
      </c>
      <c r="M178" s="180"/>
      <c r="N178" s="180">
        <f t="shared" si="32"/>
        <v>1</v>
      </c>
      <c r="O178" s="180">
        <f t="shared" si="27"/>
        <v>1</v>
      </c>
      <c r="P178" s="87" t="s">
        <v>124</v>
      </c>
      <c r="Q178" s="90">
        <f t="shared" si="28"/>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9"/>
        <v>PROPERTY_ENERGY_CERTIFICATEEP_SCORE</v>
      </c>
      <c r="B179" s="67" t="s">
        <v>26</v>
      </c>
      <c r="C179" s="68" t="s">
        <v>54</v>
      </c>
      <c r="D179" s="64" t="s">
        <v>40</v>
      </c>
      <c r="E179" s="66" t="s">
        <v>123</v>
      </c>
      <c r="F179" s="66" t="s">
        <v>135</v>
      </c>
      <c r="G179" s="64" t="str">
        <f>INDEX(Auxiliar!$B$16:$B$24,MATCH(Plano_V3!H179,Auxiliar!$C$16:$C$24,0),1)</f>
        <v>6. Em implementação (re-especificação)</v>
      </c>
      <c r="H179" s="64">
        <f>VLOOKUP(A179,'Aux - pivots1'!$A:$B,2,0)</f>
        <v>7</v>
      </c>
      <c r="I179" s="186">
        <f>SUMIFS(Table1[Estimação (horas)],Table1[Tabela],Plano_V3!E179,Table1[Campo],Plano_V3!F179)</f>
        <v>4.0999999999999996</v>
      </c>
      <c r="J179" s="186">
        <f t="shared" si="30"/>
        <v>0.51249999999999996</v>
      </c>
      <c r="K179" s="186">
        <f>SUMIFS(Table1[Horas efetivas],Table1[Tabela],Plano_V3!E179,Table1[Campo],Plano_V3!F179)</f>
        <v>1.0249999999999999</v>
      </c>
      <c r="L179" s="186">
        <f t="shared" si="31"/>
        <v>0.12812499999999999</v>
      </c>
      <c r="M179" s="180"/>
      <c r="N179" s="180">
        <f t="shared" si="32"/>
        <v>0.25</v>
      </c>
      <c r="O179" s="180">
        <f t="shared" si="27"/>
        <v>0.25</v>
      </c>
      <c r="P179" s="87" t="s">
        <v>124</v>
      </c>
      <c r="Q179" s="90">
        <f t="shared" si="28"/>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9"/>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30"/>
        <v>0.51249999999999996</v>
      </c>
      <c r="K180" s="186">
        <f>SUMIFS(Table1[Horas efetivas],Table1[Tabela],Plano_V3!E180,Table1[Campo],Plano_V3!F180)</f>
        <v>4.0999999999999996</v>
      </c>
      <c r="L180" s="186">
        <f t="shared" si="31"/>
        <v>0.51249999999999996</v>
      </c>
      <c r="M180" s="180"/>
      <c r="N180" s="180">
        <f t="shared" si="32"/>
        <v>1</v>
      </c>
      <c r="O180" s="180">
        <f t="shared" si="27"/>
        <v>1</v>
      </c>
      <c r="P180" s="87" t="s">
        <v>124</v>
      </c>
      <c r="Q180" s="90">
        <f t="shared" si="28"/>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9"/>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30"/>
        <v>0.51249999999999996</v>
      </c>
      <c r="K181" s="186">
        <f>SUMIFS(Table1[Horas efetivas],Table1[Tabela],Plano_V3!E181,Table1[Campo],Plano_V3!F181)</f>
        <v>4.0999999999999996</v>
      </c>
      <c r="L181" s="186">
        <f t="shared" si="31"/>
        <v>0.51249999999999996</v>
      </c>
      <c r="M181" s="180"/>
      <c r="N181" s="180">
        <f t="shared" si="32"/>
        <v>1</v>
      </c>
      <c r="O181" s="180">
        <f t="shared" si="27"/>
        <v>1</v>
      </c>
      <c r="P181" s="87" t="s">
        <v>124</v>
      </c>
      <c r="Q181" s="90">
        <f t="shared" si="28"/>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9"/>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30"/>
        <v>0.51249999999999996</v>
      </c>
      <c r="K182" s="186">
        <f>SUMIFS(Table1[Horas efetivas],Table1[Tabela],Plano_V3!E182,Table1[Campo],Plano_V3!F182)</f>
        <v>4.0999999999999996</v>
      </c>
      <c r="L182" s="186">
        <f t="shared" si="31"/>
        <v>0.51249999999999996</v>
      </c>
      <c r="M182" s="180"/>
      <c r="N182" s="180">
        <f t="shared" si="32"/>
        <v>1</v>
      </c>
      <c r="O182" s="180">
        <f t="shared" si="27"/>
        <v>1</v>
      </c>
      <c r="P182" s="87" t="s">
        <v>124</v>
      </c>
      <c r="Q182" s="90">
        <f t="shared" si="28"/>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9"/>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30"/>
        <v>0.51249999999999996</v>
      </c>
      <c r="K183" s="186">
        <f>SUMIFS(Table1[Horas efetivas],Table1[Tabela],Plano_V3!E183,Table1[Campo],Plano_V3!F183)</f>
        <v>4.0999999999999996</v>
      </c>
      <c r="L183" s="186">
        <f t="shared" si="31"/>
        <v>0.51249999999999996</v>
      </c>
      <c r="M183" s="180"/>
      <c r="N183" s="180">
        <f t="shared" si="32"/>
        <v>1</v>
      </c>
      <c r="O183" s="180">
        <f t="shared" si="27"/>
        <v>1</v>
      </c>
      <c r="P183" s="87" t="s">
        <v>124</v>
      </c>
      <c r="Q183" s="90">
        <f t="shared" si="28"/>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9"/>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30"/>
        <v>0.51249999999999996</v>
      </c>
      <c r="K184" s="186">
        <f>SUMIFS(Table1[Horas efetivas],Table1[Tabela],Plano_V3!E184,Table1[Campo],Plano_V3!F184)</f>
        <v>4.0999999999999996</v>
      </c>
      <c r="L184" s="186">
        <f t="shared" si="31"/>
        <v>0.51249999999999996</v>
      </c>
      <c r="M184" s="180"/>
      <c r="N184" s="180">
        <f t="shared" si="32"/>
        <v>1</v>
      </c>
      <c r="O184" s="180">
        <f t="shared" si="27"/>
        <v>1</v>
      </c>
      <c r="P184" s="87" t="s">
        <v>124</v>
      </c>
      <c r="Q184" s="90">
        <f t="shared" si="28"/>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9"/>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30"/>
        <v>0.51249999999999996</v>
      </c>
      <c r="K185" s="186">
        <f>SUMIFS(Table1[Horas efetivas],Table1[Tabela],Plano_V3!E185,Table1[Campo],Plano_V3!F185)</f>
        <v>4.0999999999999996</v>
      </c>
      <c r="L185" s="186">
        <f t="shared" si="31"/>
        <v>0.51249999999999996</v>
      </c>
      <c r="M185" s="180"/>
      <c r="N185" s="180">
        <f t="shared" si="32"/>
        <v>1</v>
      </c>
      <c r="O185" s="180">
        <f t="shared" ref="O185:O249" si="34">N185-M185</f>
        <v>1</v>
      </c>
      <c r="P185" s="87" t="s">
        <v>124</v>
      </c>
      <c r="Q185" s="90">
        <f t="shared" si="28"/>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9"/>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30"/>
        <v>0.51249999999999996</v>
      </c>
      <c r="K186" s="186">
        <f>SUMIFS(Table1[Horas efetivas],Table1[Tabela],Plano_V3!E186,Table1[Campo],Plano_V3!F186)</f>
        <v>4.0999999999999996</v>
      </c>
      <c r="L186" s="186">
        <f t="shared" si="31"/>
        <v>0.51249999999999996</v>
      </c>
      <c r="M186" s="180"/>
      <c r="N186" s="180">
        <f t="shared" si="32"/>
        <v>1</v>
      </c>
      <c r="O186" s="180">
        <f t="shared" si="34"/>
        <v>1</v>
      </c>
      <c r="P186" s="87" t="s">
        <v>124</v>
      </c>
      <c r="Q186" s="90">
        <f t="shared" ref="Q186:Q257" si="35">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9"/>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30"/>
        <v>0.51249999999999996</v>
      </c>
      <c r="K187" s="186">
        <f>SUMIFS(Table1[Horas efetivas],Table1[Tabela],Plano_V3!E187,Table1[Campo],Plano_V3!F187)</f>
        <v>4.0999999999999996</v>
      </c>
      <c r="L187" s="186">
        <f t="shared" si="31"/>
        <v>0.51249999999999996</v>
      </c>
      <c r="M187" s="180"/>
      <c r="N187" s="180">
        <f t="shared" si="32"/>
        <v>1</v>
      </c>
      <c r="O187" s="180">
        <f t="shared" si="34"/>
        <v>1</v>
      </c>
      <c r="P187" s="87" t="s">
        <v>124</v>
      </c>
      <c r="Q187" s="90">
        <f t="shared" si="3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9"/>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30"/>
        <v>0.51249999999999996</v>
      </c>
      <c r="K188" s="186">
        <f>SUMIFS(Table1[Horas efetivas],Table1[Tabela],Plano_V3!E188,Table1[Campo],Plano_V3!F188)</f>
        <v>4.0999999999999996</v>
      </c>
      <c r="L188" s="186">
        <f t="shared" si="31"/>
        <v>0.51249999999999996</v>
      </c>
      <c r="M188" s="180"/>
      <c r="N188" s="180">
        <f t="shared" si="32"/>
        <v>1</v>
      </c>
      <c r="O188" s="180">
        <f t="shared" si="34"/>
        <v>1</v>
      </c>
      <c r="P188" s="87" t="s">
        <v>124</v>
      </c>
      <c r="Q188" s="90">
        <f t="shared" si="3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9"/>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30"/>
        <v>0.51249999999999996</v>
      </c>
      <c r="K189" s="186">
        <f>SUMIFS(Table1[Horas efetivas],Table1[Tabela],Plano_V3!E189,Table1[Campo],Plano_V3!F189)</f>
        <v>4.0999999999999996</v>
      </c>
      <c r="L189" s="186">
        <f t="shared" si="31"/>
        <v>0.51249999999999996</v>
      </c>
      <c r="M189" s="180"/>
      <c r="N189" s="180">
        <f t="shared" si="32"/>
        <v>1</v>
      </c>
      <c r="O189" s="180">
        <f t="shared" si="34"/>
        <v>1</v>
      </c>
      <c r="P189" s="87" t="s">
        <v>124</v>
      </c>
      <c r="Q189" s="90">
        <f t="shared" si="35"/>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9"/>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30"/>
        <v>0.51249999999999996</v>
      </c>
      <c r="K190" s="186">
        <f>SUMIFS(Table1[Horas efetivas],Table1[Tabela],Plano_V3!E190,Table1[Campo],Plano_V3!F190)</f>
        <v>4.0999999999999996</v>
      </c>
      <c r="L190" s="186">
        <f t="shared" si="31"/>
        <v>0.51249999999999996</v>
      </c>
      <c r="M190" s="180"/>
      <c r="N190" s="180">
        <f t="shared" si="32"/>
        <v>1</v>
      </c>
      <c r="O190" s="180">
        <f t="shared" si="34"/>
        <v>1</v>
      </c>
      <c r="P190" s="87" t="s">
        <v>124</v>
      </c>
      <c r="Q190" s="90">
        <f t="shared" si="35"/>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9"/>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30"/>
        <v>0.51249999999999996</v>
      </c>
      <c r="K191" s="186">
        <f>SUMIFS(Table1[Horas efetivas],Table1[Tabela],Plano_V3!E191,Table1[Campo],Plano_V3!F191)</f>
        <v>4.0999999999999996</v>
      </c>
      <c r="L191" s="186">
        <f t="shared" si="31"/>
        <v>0.51249999999999996</v>
      </c>
      <c r="M191" s="180"/>
      <c r="N191" s="180">
        <f t="shared" si="32"/>
        <v>1</v>
      </c>
      <c r="O191" s="180">
        <f t="shared" si="34"/>
        <v>1</v>
      </c>
      <c r="P191" s="87" t="s">
        <v>124</v>
      </c>
      <c r="Q191" s="90">
        <f t="shared" si="35"/>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9"/>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30"/>
        <v>0.51249999999999996</v>
      </c>
      <c r="K192" s="186">
        <f>SUMIFS(Table1[Horas efetivas],Table1[Tabela],Plano_V3!E192,Table1[Campo],Plano_V3!F192)</f>
        <v>4.0999999999999996</v>
      </c>
      <c r="L192" s="186">
        <f t="shared" si="31"/>
        <v>0.51249999999999996</v>
      </c>
      <c r="M192" s="180"/>
      <c r="N192" s="180">
        <f t="shared" si="32"/>
        <v>1</v>
      </c>
      <c r="O192" s="180">
        <f t="shared" si="34"/>
        <v>1</v>
      </c>
      <c r="P192" s="87" t="s">
        <v>124</v>
      </c>
      <c r="Q192" s="90">
        <f t="shared" si="35"/>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9"/>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30"/>
        <v>0.51249999999999996</v>
      </c>
      <c r="K193" s="186">
        <f>SUMIFS(Table1[Horas efetivas],Table1[Tabela],Plano_V3!E193,Table1[Campo],Plano_V3!F193)</f>
        <v>4.0999999999999996</v>
      </c>
      <c r="L193" s="186">
        <f t="shared" si="31"/>
        <v>0.51249999999999996</v>
      </c>
      <c r="M193" s="180"/>
      <c r="N193" s="180">
        <f t="shared" si="32"/>
        <v>1</v>
      </c>
      <c r="O193" s="180">
        <f t="shared" si="34"/>
        <v>1</v>
      </c>
      <c r="P193" s="87" t="s">
        <v>124</v>
      </c>
      <c r="Q193" s="90">
        <f t="shared" si="35"/>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9"/>
        <v>PROPERTY_ENERGY_CERTIFICATEENERGY_CONSUMPTION_VALUE_YEAR</v>
      </c>
      <c r="B194" s="67" t="s">
        <v>26</v>
      </c>
      <c r="C194" s="68" t="s">
        <v>54</v>
      </c>
      <c r="D194" s="64" t="s">
        <v>40</v>
      </c>
      <c r="E194" s="66" t="s">
        <v>123</v>
      </c>
      <c r="F194" s="66" t="s">
        <v>51</v>
      </c>
      <c r="G194" s="64" t="str">
        <f>INDEX(Auxiliar!$B$16:$B$24,MATCH(Plano_V3!H194,Auxiliar!$C$16:$C$24,0),1)</f>
        <v>6. Em implementação (re-especificação)</v>
      </c>
      <c r="H194" s="64">
        <f>VLOOKUP(A194,'Aux - pivots1'!$A:$B,2,0)</f>
        <v>7</v>
      </c>
      <c r="I194" s="186">
        <f>SUMIFS(Table1[Estimação (horas)],Table1[Tabela],Plano_V3!E194,Table1[Campo],Plano_V3!F194)</f>
        <v>4.0999999999999996</v>
      </c>
      <c r="J194" s="186">
        <f t="shared" si="30"/>
        <v>0.51249999999999996</v>
      </c>
      <c r="K194" s="186">
        <f>SUMIFS(Table1[Horas efetivas],Table1[Tabela],Plano_V3!E194,Table1[Campo],Plano_V3!F194)</f>
        <v>1.0249999999999999</v>
      </c>
      <c r="L194" s="186">
        <f t="shared" si="31"/>
        <v>0.12812499999999999</v>
      </c>
      <c r="M194" s="180"/>
      <c r="N194" s="180">
        <f t="shared" si="32"/>
        <v>0.25</v>
      </c>
      <c r="O194" s="180">
        <f t="shared" si="34"/>
        <v>0.25</v>
      </c>
      <c r="P194" s="87" t="s">
        <v>124</v>
      </c>
      <c r="Q194" s="90">
        <f t="shared" si="35"/>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9"/>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30"/>
        <v>0.51249999999999996</v>
      </c>
      <c r="K195" s="186">
        <f>SUMIFS(Table1[Horas efetivas],Table1[Tabela],Plano_V3!E195,Table1[Campo],Plano_V3!F195)</f>
        <v>4.0999999999999996</v>
      </c>
      <c r="L195" s="186">
        <f t="shared" si="31"/>
        <v>0.51249999999999996</v>
      </c>
      <c r="M195" s="180"/>
      <c r="N195" s="180">
        <f t="shared" si="32"/>
        <v>1</v>
      </c>
      <c r="O195" s="180">
        <f t="shared" si="34"/>
        <v>1</v>
      </c>
      <c r="P195" s="87" t="s">
        <v>124</v>
      </c>
      <c r="Q195" s="90">
        <f t="shared" si="35"/>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9"/>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30"/>
        <v>0.51249999999999996</v>
      </c>
      <c r="K196" s="186">
        <f>SUMIFS(Table1[Horas efetivas],Table1[Tabela],Plano_V3!E196,Table1[Campo],Plano_V3!F196)</f>
        <v>4.0999999999999996</v>
      </c>
      <c r="L196" s="186">
        <f t="shared" si="31"/>
        <v>0.51249999999999996</v>
      </c>
      <c r="M196" s="180"/>
      <c r="N196" s="180">
        <f t="shared" si="32"/>
        <v>1</v>
      </c>
      <c r="O196" s="180">
        <f t="shared" si="34"/>
        <v>1</v>
      </c>
      <c r="P196" s="87" t="s">
        <v>124</v>
      </c>
      <c r="Q196" s="90">
        <f t="shared" si="35"/>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9"/>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30"/>
        <v>0.51249999999999996</v>
      </c>
      <c r="K197" s="186">
        <f>SUMIFS(Table1[Horas efetivas],Table1[Tabela],Plano_V3!E197,Table1[Campo],Plano_V3!F197)</f>
        <v>4.0999999999999996</v>
      </c>
      <c r="L197" s="186">
        <f t="shared" si="31"/>
        <v>0.51249999999999996</v>
      </c>
      <c r="M197" s="180"/>
      <c r="N197" s="180">
        <f t="shared" si="32"/>
        <v>1</v>
      </c>
      <c r="O197" s="180">
        <f t="shared" si="34"/>
        <v>1</v>
      </c>
      <c r="P197" s="87" t="s">
        <v>124</v>
      </c>
      <c r="Q197" s="90">
        <f t="shared" si="35"/>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9"/>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30"/>
        <v>0.51249999999999996</v>
      </c>
      <c r="K198" s="186">
        <f>SUMIFS(Table1[Horas efetivas],Table1[Tabela],Plano_V3!E198,Table1[Campo],Plano_V3!F198)</f>
        <v>4.0999999999999996</v>
      </c>
      <c r="L198" s="186">
        <f t="shared" si="31"/>
        <v>0.51249999999999996</v>
      </c>
      <c r="M198" s="180"/>
      <c r="N198" s="180">
        <f t="shared" si="32"/>
        <v>1</v>
      </c>
      <c r="O198" s="180">
        <f t="shared" si="34"/>
        <v>1</v>
      </c>
      <c r="P198" s="87" t="s">
        <v>124</v>
      </c>
      <c r="Q198" s="90">
        <f t="shared" si="35"/>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9"/>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30"/>
        <v>0.51249999999999996</v>
      </c>
      <c r="K199" s="186">
        <f>SUMIFS(Table1[Horas efetivas],Table1[Tabela],Plano_V3!E199,Table1[Campo],Plano_V3!F199)</f>
        <v>4.0999999999999996</v>
      </c>
      <c r="L199" s="186">
        <f t="shared" si="31"/>
        <v>0.51249999999999996</v>
      </c>
      <c r="M199" s="180"/>
      <c r="N199" s="180">
        <f t="shared" si="32"/>
        <v>1</v>
      </c>
      <c r="O199" s="180">
        <f t="shared" si="34"/>
        <v>1</v>
      </c>
      <c r="P199" s="87" t="s">
        <v>124</v>
      </c>
      <c r="Q199" s="90">
        <f t="shared" si="35"/>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6">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30"/>
        <v>0.51249999999999996</v>
      </c>
      <c r="K200" s="186">
        <f>SUMIFS(Table1[Horas efetivas],Table1[Tabela],Plano_V3!E200,Table1[Campo],Plano_V3!F200)</f>
        <v>4.0999999999999996</v>
      </c>
      <c r="L200" s="186">
        <f t="shared" si="31"/>
        <v>0.51249999999999996</v>
      </c>
      <c r="M200" s="180"/>
      <c r="N200" s="180">
        <f t="shared" si="32"/>
        <v>1</v>
      </c>
      <c r="O200" s="180">
        <f t="shared" si="34"/>
        <v>1</v>
      </c>
      <c r="P200" s="87" t="s">
        <v>124</v>
      </c>
      <c r="Q200" s="90">
        <f t="shared" si="35"/>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6"/>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30"/>
        <v>0.51249999999999996</v>
      </c>
      <c r="K201" s="186">
        <f>SUMIFS(Table1[Horas efetivas],Table1[Tabela],Plano_V3!E201,Table1[Campo],Plano_V3!F201)</f>
        <v>4.0999999999999996</v>
      </c>
      <c r="L201" s="186">
        <f t="shared" si="31"/>
        <v>0.51249999999999996</v>
      </c>
      <c r="M201" s="180"/>
      <c r="N201" s="180">
        <f t="shared" si="32"/>
        <v>1</v>
      </c>
      <c r="O201" s="180">
        <f t="shared" si="34"/>
        <v>1</v>
      </c>
      <c r="P201" s="87" t="s">
        <v>124</v>
      </c>
      <c r="Q201" s="90">
        <f t="shared" si="35"/>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6"/>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7">I202/8</f>
        <v>0.51249999999999996</v>
      </c>
      <c r="K202" s="186">
        <f>SUMIFS(Table1[Horas efetivas],Table1[Tabela],Plano_V3!E202,Table1[Campo],Plano_V3!F202)</f>
        <v>4.0999999999999996</v>
      </c>
      <c r="L202" s="186">
        <f t="shared" ref="L202:L234" si="38">K202/8</f>
        <v>0.51249999999999996</v>
      </c>
      <c r="M202" s="180"/>
      <c r="N202" s="180">
        <f t="shared" ref="N202:N236" si="39">L202/J202</f>
        <v>1</v>
      </c>
      <c r="O202" s="180">
        <f t="shared" si="34"/>
        <v>1</v>
      </c>
      <c r="P202" s="87" t="s">
        <v>124</v>
      </c>
      <c r="Q202" s="90">
        <f t="shared" si="35"/>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6"/>
        <v>PROPERTY_ENERGY_CERTIFICATECARBON_EMISSION_VALUE_YEAR</v>
      </c>
      <c r="B203" s="67" t="s">
        <v>26</v>
      </c>
      <c r="C203" s="68" t="s">
        <v>54</v>
      </c>
      <c r="D203" s="64" t="s">
        <v>40</v>
      </c>
      <c r="E203" s="66" t="s">
        <v>123</v>
      </c>
      <c r="F203" s="66" t="s">
        <v>52</v>
      </c>
      <c r="G203" s="64" t="str">
        <f>INDEX(Auxiliar!$B$16:$B$24,MATCH(Plano_V3!H203,Auxiliar!$C$16:$C$24,0),1)</f>
        <v>6. Em implementação (re-especificação)</v>
      </c>
      <c r="H203" s="64">
        <f>VLOOKUP(A203,'Aux - pivots1'!$A:$B,2,0)</f>
        <v>7</v>
      </c>
      <c r="I203" s="186">
        <f>SUMIFS(Table1[Estimação (horas)],Table1[Tabela],Plano_V3!E203,Table1[Campo],Plano_V3!F203)</f>
        <v>4.0999999999999996</v>
      </c>
      <c r="J203" s="186">
        <f t="shared" si="37"/>
        <v>0.51249999999999996</v>
      </c>
      <c r="K203" s="186">
        <f>SUMIFS(Table1[Horas efetivas],Table1[Tabela],Plano_V3!E203,Table1[Campo],Plano_V3!F203)</f>
        <v>1.0249999999999999</v>
      </c>
      <c r="L203" s="186">
        <f t="shared" si="38"/>
        <v>0.12812499999999999</v>
      </c>
      <c r="M203" s="180"/>
      <c r="N203" s="180">
        <f t="shared" si="39"/>
        <v>0.25</v>
      </c>
      <c r="O203" s="180">
        <f t="shared" si="34"/>
        <v>0.25</v>
      </c>
      <c r="P203" s="87" t="s">
        <v>124</v>
      </c>
      <c r="Q203" s="90">
        <f t="shared" si="35"/>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6"/>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7"/>
        <v>0.51249999999999996</v>
      </c>
      <c r="K204" s="186">
        <f>SUMIFS(Table1[Horas efetivas],Table1[Tabela],Plano_V3!E204,Table1[Campo],Plano_V3!F204)</f>
        <v>4.0999999999999996</v>
      </c>
      <c r="L204" s="186">
        <f t="shared" si="38"/>
        <v>0.51249999999999996</v>
      </c>
      <c r="M204" s="180"/>
      <c r="N204" s="180">
        <f t="shared" si="39"/>
        <v>1</v>
      </c>
      <c r="O204" s="180">
        <f t="shared" si="34"/>
        <v>1</v>
      </c>
      <c r="P204" s="87" t="s">
        <v>124</v>
      </c>
      <c r="Q204" s="90">
        <f t="shared" si="35"/>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6"/>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7"/>
        <v>0.51249999999999996</v>
      </c>
      <c r="K205" s="186">
        <f>SUMIFS(Table1[Horas efetivas],Table1[Tabela],Plano_V3!E205,Table1[Campo],Plano_V3!F205)</f>
        <v>4.0999999999999996</v>
      </c>
      <c r="L205" s="186">
        <f t="shared" si="38"/>
        <v>0.51249999999999996</v>
      </c>
      <c r="M205" s="180"/>
      <c r="N205" s="180">
        <f t="shared" si="39"/>
        <v>1</v>
      </c>
      <c r="O205" s="180">
        <f t="shared" si="34"/>
        <v>1</v>
      </c>
      <c r="P205" s="87" t="s">
        <v>124</v>
      </c>
      <c r="Q205" s="90">
        <f t="shared" si="35"/>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6"/>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7"/>
        <v>0.51249999999999996</v>
      </c>
      <c r="K206" s="186">
        <f>SUMIFS(Table1[Horas efetivas],Table1[Tabela],Plano_V3!E206,Table1[Campo],Plano_V3!F206)</f>
        <v>4.0999999999999996</v>
      </c>
      <c r="L206" s="186">
        <f t="shared" si="38"/>
        <v>0.51249999999999996</v>
      </c>
      <c r="M206" s="180"/>
      <c r="N206" s="180">
        <f t="shared" si="39"/>
        <v>1</v>
      </c>
      <c r="O206" s="180">
        <f t="shared" si="34"/>
        <v>1</v>
      </c>
      <c r="P206" s="87" t="s">
        <v>124</v>
      </c>
      <c r="Q206" s="90">
        <f t="shared" si="35"/>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6"/>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7"/>
        <v>0.51249999999999996</v>
      </c>
      <c r="K207" s="186">
        <f>SUMIFS(Table1[Horas efetivas],Table1[Tabela],Plano_V3!E207,Table1[Campo],Plano_V3!F207)</f>
        <v>4.0999999999999996</v>
      </c>
      <c r="L207" s="186">
        <f t="shared" si="38"/>
        <v>0.51249999999999996</v>
      </c>
      <c r="M207" s="180"/>
      <c r="N207" s="180">
        <f t="shared" si="39"/>
        <v>1</v>
      </c>
      <c r="O207" s="180">
        <f t="shared" si="34"/>
        <v>1</v>
      </c>
      <c r="P207" s="87" t="s">
        <v>124</v>
      </c>
      <c r="Q207" s="90">
        <f t="shared" si="35"/>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6"/>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7"/>
        <v>0.51249999999999996</v>
      </c>
      <c r="K208" s="186">
        <f>SUMIFS(Table1[Horas efetivas],Table1[Tabela],Plano_V3!E208,Table1[Campo],Plano_V3!F208)</f>
        <v>4.0999999999999996</v>
      </c>
      <c r="L208" s="186">
        <f t="shared" si="38"/>
        <v>0.51249999999999996</v>
      </c>
      <c r="M208" s="180"/>
      <c r="N208" s="180">
        <f t="shared" si="39"/>
        <v>1</v>
      </c>
      <c r="O208" s="180">
        <f t="shared" si="34"/>
        <v>1</v>
      </c>
      <c r="P208" s="87" t="s">
        <v>124</v>
      </c>
      <c r="Q208" s="90">
        <f t="shared" si="35"/>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6"/>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7"/>
        <v>0.51249999999999996</v>
      </c>
      <c r="K209" s="186">
        <f>SUMIFS(Table1[Horas efetivas],Table1[Tabela],Plano_V3!E209,Table1[Campo],Plano_V3!F209)</f>
        <v>4.0999999999999996</v>
      </c>
      <c r="L209" s="186">
        <f t="shared" si="38"/>
        <v>0.51249999999999996</v>
      </c>
      <c r="M209" s="180"/>
      <c r="N209" s="180">
        <f t="shared" si="39"/>
        <v>1</v>
      </c>
      <c r="O209" s="180">
        <f t="shared" si="34"/>
        <v>1</v>
      </c>
      <c r="P209" s="87" t="s">
        <v>124</v>
      </c>
      <c r="Q209" s="90">
        <f t="shared" si="35"/>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6"/>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7"/>
        <v>0.51249999999999996</v>
      </c>
      <c r="K210" s="186">
        <f>SUMIFS(Table1[Horas efetivas],Table1[Tabela],Plano_V3!E210,Table1[Campo],Plano_V3!F210)</f>
        <v>4.0999999999999996</v>
      </c>
      <c r="L210" s="186">
        <f t="shared" si="38"/>
        <v>0.51249999999999996</v>
      </c>
      <c r="M210" s="180"/>
      <c r="N210" s="180">
        <f t="shared" si="39"/>
        <v>1</v>
      </c>
      <c r="O210" s="180">
        <f t="shared" si="34"/>
        <v>1</v>
      </c>
      <c r="P210" s="87" t="s">
        <v>124</v>
      </c>
      <c r="Q210" s="90">
        <f t="shared" si="35"/>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6"/>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7"/>
        <v>0.51249999999999996</v>
      </c>
      <c r="K211" s="186">
        <f>SUMIFS(Table1[Horas efetivas],Table1[Tabela],Plano_V3!E211,Table1[Campo],Plano_V3!F211)</f>
        <v>4.0999999999999996</v>
      </c>
      <c r="L211" s="186">
        <f t="shared" si="38"/>
        <v>0.51249999999999996</v>
      </c>
      <c r="M211" s="180"/>
      <c r="N211" s="180">
        <f t="shared" si="39"/>
        <v>1</v>
      </c>
      <c r="O211" s="180">
        <f t="shared" si="34"/>
        <v>1</v>
      </c>
      <c r="P211" s="87" t="s">
        <v>124</v>
      </c>
      <c r="Q211" s="90">
        <f t="shared" si="35"/>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6"/>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7"/>
        <v>0.51249999999999996</v>
      </c>
      <c r="K212" s="186">
        <f>SUMIFS(Table1[Horas efetivas],Table1[Tabela],Plano_V3!E212,Table1[Campo],Plano_V3!F212)</f>
        <v>4.0999999999999996</v>
      </c>
      <c r="L212" s="186">
        <f t="shared" si="38"/>
        <v>0.51249999999999996</v>
      </c>
      <c r="M212" s="180"/>
      <c r="N212" s="180">
        <f t="shared" si="39"/>
        <v>1</v>
      </c>
      <c r="O212" s="180">
        <f t="shared" si="34"/>
        <v>1</v>
      </c>
      <c r="P212" s="87" t="s">
        <v>124</v>
      </c>
      <c r="Q212" s="90">
        <f t="shared" si="35"/>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6"/>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7"/>
        <v>0.51249999999999996</v>
      </c>
      <c r="K213" s="186">
        <f>SUMIFS(Table1[Horas efetivas],Table1[Tabela],Plano_V3!E213,Table1[Campo],Plano_V3!F213)</f>
        <v>4.0999999999999996</v>
      </c>
      <c r="L213" s="186">
        <f t="shared" si="38"/>
        <v>0.51249999999999996</v>
      </c>
      <c r="M213" s="180"/>
      <c r="N213" s="180">
        <f t="shared" si="39"/>
        <v>1</v>
      </c>
      <c r="O213" s="180">
        <f t="shared" si="34"/>
        <v>1</v>
      </c>
      <c r="P213" s="87" t="s">
        <v>124</v>
      </c>
      <c r="Q213" s="90">
        <f t="shared" si="35"/>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6"/>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7"/>
        <v>0.51249999999999996</v>
      </c>
      <c r="K214" s="186">
        <f>SUMIFS(Table1[Horas efetivas],Table1[Tabela],Plano_V3!E214,Table1[Campo],Plano_V3!F214)</f>
        <v>4.0999999999999996</v>
      </c>
      <c r="L214" s="186">
        <f t="shared" si="38"/>
        <v>0.51249999999999996</v>
      </c>
      <c r="M214" s="180"/>
      <c r="N214" s="180">
        <f t="shared" si="39"/>
        <v>1</v>
      </c>
      <c r="O214" s="180">
        <f t="shared" si="34"/>
        <v>1</v>
      </c>
      <c r="P214" s="87" t="s">
        <v>124</v>
      </c>
      <c r="Q214" s="90">
        <f t="shared" si="35"/>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6"/>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7"/>
        <v>0.51249999999999996</v>
      </c>
      <c r="K215" s="186">
        <f>SUMIFS(Table1[Horas efetivas],Table1[Tabela],Plano_V3!E215,Table1[Campo],Plano_V3!F215)</f>
        <v>4.0999999999999996</v>
      </c>
      <c r="L215" s="186">
        <f t="shared" si="38"/>
        <v>0.51249999999999996</v>
      </c>
      <c r="M215" s="180"/>
      <c r="N215" s="180">
        <f t="shared" si="39"/>
        <v>1</v>
      </c>
      <c r="O215" s="180">
        <f t="shared" si="34"/>
        <v>1</v>
      </c>
      <c r="P215" s="87" t="s">
        <v>124</v>
      </c>
      <c r="Q215" s="90">
        <f t="shared" si="35"/>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6"/>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7"/>
        <v>0.51249999999999996</v>
      </c>
      <c r="K216" s="186">
        <f>SUMIFS(Table1[Horas efetivas],Table1[Tabela],Plano_V3!E216,Table1[Campo],Plano_V3!F216)</f>
        <v>4.0999999999999996</v>
      </c>
      <c r="L216" s="186">
        <f t="shared" si="38"/>
        <v>0.51249999999999996</v>
      </c>
      <c r="M216" s="180"/>
      <c r="N216" s="180">
        <f t="shared" si="39"/>
        <v>1</v>
      </c>
      <c r="O216" s="180">
        <f t="shared" si="34"/>
        <v>1</v>
      </c>
      <c r="P216" s="87" t="s">
        <v>124</v>
      </c>
      <c r="Q216" s="90">
        <f t="shared" si="35"/>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6"/>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7"/>
        <v>0.51249999999999996</v>
      </c>
      <c r="K217" s="186">
        <f>SUMIFS(Table1[Horas efetivas],Table1[Tabela],Plano_V3!E217,Table1[Campo],Plano_V3!F217)</f>
        <v>4.0999999999999996</v>
      </c>
      <c r="L217" s="186">
        <f t="shared" si="38"/>
        <v>0.51249999999999996</v>
      </c>
      <c r="M217" s="180"/>
      <c r="N217" s="180">
        <f t="shared" si="39"/>
        <v>1</v>
      </c>
      <c r="O217" s="180">
        <f t="shared" si="34"/>
        <v>1</v>
      </c>
      <c r="P217" s="87" t="s">
        <v>124</v>
      </c>
      <c r="Q217" s="90">
        <f t="shared" si="35"/>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6"/>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7"/>
        <v>0.51249999999999996</v>
      </c>
      <c r="K218" s="186">
        <f>SUMIFS(Table1[Horas efetivas],Table1[Tabela],Plano_V3!E218,Table1[Campo],Plano_V3!F218)</f>
        <v>4.0999999999999996</v>
      </c>
      <c r="L218" s="186">
        <f t="shared" si="38"/>
        <v>0.51249999999999996</v>
      </c>
      <c r="M218" s="180"/>
      <c r="N218" s="180">
        <f t="shared" si="39"/>
        <v>1</v>
      </c>
      <c r="O218" s="180">
        <f t="shared" si="34"/>
        <v>1</v>
      </c>
      <c r="P218" s="87" t="s">
        <v>124</v>
      </c>
      <c r="Q218" s="90">
        <f t="shared" si="35"/>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6"/>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7"/>
        <v>0.51249999999999996</v>
      </c>
      <c r="K219" s="186">
        <f>SUMIFS(Table1[Horas efetivas],Table1[Tabela],Plano_V3!E219,Table1[Campo],Plano_V3!F219)</f>
        <v>4.0999999999999996</v>
      </c>
      <c r="L219" s="186">
        <f t="shared" si="38"/>
        <v>0.51249999999999996</v>
      </c>
      <c r="M219" s="180"/>
      <c r="N219" s="180">
        <f t="shared" si="39"/>
        <v>1</v>
      </c>
      <c r="O219" s="180">
        <f t="shared" si="34"/>
        <v>1</v>
      </c>
      <c r="P219" s="87" t="s">
        <v>124</v>
      </c>
      <c r="Q219" s="90">
        <f t="shared" si="35"/>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6"/>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7"/>
        <v>0.51249999999999996</v>
      </c>
      <c r="K220" s="186">
        <f>SUMIFS(Table1[Horas efetivas],Table1[Tabela],Plano_V3!E220,Table1[Campo],Plano_V3!F220)</f>
        <v>4.0999999999999996</v>
      </c>
      <c r="L220" s="186">
        <f t="shared" si="38"/>
        <v>0.51249999999999996</v>
      </c>
      <c r="M220" s="180"/>
      <c r="N220" s="180">
        <f t="shared" si="39"/>
        <v>1</v>
      </c>
      <c r="O220" s="180">
        <f t="shared" si="34"/>
        <v>1</v>
      </c>
      <c r="P220" s="87" t="s">
        <v>124</v>
      </c>
      <c r="Q220" s="90">
        <f t="shared" si="35"/>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6"/>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7"/>
        <v>0.51249999999999996</v>
      </c>
      <c r="K221" s="186">
        <f>SUMIFS(Table1[Horas efetivas],Table1[Tabela],Plano_V3!E221,Table1[Campo],Plano_V3!F221)</f>
        <v>4.0999999999999996</v>
      </c>
      <c r="L221" s="186">
        <f t="shared" si="38"/>
        <v>0.51249999999999996</v>
      </c>
      <c r="M221" s="180"/>
      <c r="N221" s="180">
        <f t="shared" si="39"/>
        <v>1</v>
      </c>
      <c r="O221" s="180">
        <f t="shared" si="34"/>
        <v>1</v>
      </c>
      <c r="P221" s="87" t="s">
        <v>124</v>
      </c>
      <c r="Q221" s="90">
        <f t="shared" si="35"/>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6"/>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7"/>
        <v>0.51249999999999996</v>
      </c>
      <c r="K222" s="186">
        <f>SUMIFS(Table1[Horas efetivas],Table1[Tabela],Plano_V3!E222,Table1[Campo],Plano_V3!F222)</f>
        <v>4.0999999999999996</v>
      </c>
      <c r="L222" s="186">
        <f t="shared" si="38"/>
        <v>0.51249999999999996</v>
      </c>
      <c r="M222" s="180"/>
      <c r="N222" s="180">
        <f t="shared" si="39"/>
        <v>1</v>
      </c>
      <c r="O222" s="180">
        <f t="shared" si="34"/>
        <v>1</v>
      </c>
      <c r="P222" s="87" t="s">
        <v>124</v>
      </c>
      <c r="Q222" s="90">
        <f t="shared" si="35"/>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6"/>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7"/>
        <v>0.51249999999999996</v>
      </c>
      <c r="K223" s="186">
        <f>SUMIFS(Table1[Horas efetivas],Table1[Tabela],Plano_V3!E223,Table1[Campo],Plano_V3!F223)</f>
        <v>4.0999999999999996</v>
      </c>
      <c r="L223" s="186">
        <f t="shared" si="38"/>
        <v>0.51249999999999996</v>
      </c>
      <c r="M223" s="180"/>
      <c r="N223" s="180">
        <f t="shared" si="39"/>
        <v>1</v>
      </c>
      <c r="O223" s="180">
        <f t="shared" si="34"/>
        <v>1</v>
      </c>
      <c r="P223" s="87" t="s">
        <v>124</v>
      </c>
      <c r="Q223" s="90">
        <f t="shared" si="35"/>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6"/>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7"/>
        <v>0.51249999999999996</v>
      </c>
      <c r="K224" s="186">
        <f>SUMIFS(Table1[Horas efetivas],Table1[Tabela],Plano_V3!E224,Table1[Campo],Plano_V3!F224)</f>
        <v>4.0999999999999996</v>
      </c>
      <c r="L224" s="186">
        <f t="shared" si="38"/>
        <v>0.51249999999999996</v>
      </c>
      <c r="M224" s="180"/>
      <c r="N224" s="180">
        <f t="shared" si="39"/>
        <v>1</v>
      </c>
      <c r="O224" s="180">
        <f t="shared" si="34"/>
        <v>1</v>
      </c>
      <c r="P224" s="87" t="s">
        <v>124</v>
      </c>
      <c r="Q224" s="90">
        <f t="shared" si="35"/>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6"/>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7"/>
        <v>0.51249999999999996</v>
      </c>
      <c r="K225" s="186">
        <f>SUMIFS(Table1[Horas efetivas],Table1[Tabela],Plano_V3!E225,Table1[Campo],Plano_V3!F225)</f>
        <v>4.0999999999999996</v>
      </c>
      <c r="L225" s="186">
        <f t="shared" si="38"/>
        <v>0.51249999999999996</v>
      </c>
      <c r="M225" s="180"/>
      <c r="N225" s="180">
        <f t="shared" si="39"/>
        <v>1</v>
      </c>
      <c r="O225" s="180">
        <f t="shared" si="34"/>
        <v>1</v>
      </c>
      <c r="P225" s="87" t="s">
        <v>124</v>
      </c>
      <c r="Q225" s="90">
        <f t="shared" si="35"/>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6"/>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7"/>
        <v>0.51249999999999996</v>
      </c>
      <c r="K226" s="186">
        <f>SUMIFS(Table1[Horas efetivas],Table1[Tabela],Plano_V3!E226,Table1[Campo],Plano_V3!F226)</f>
        <v>4.0999999999999996</v>
      </c>
      <c r="L226" s="186">
        <f t="shared" si="38"/>
        <v>0.51249999999999996</v>
      </c>
      <c r="M226" s="180"/>
      <c r="N226" s="180">
        <f t="shared" si="39"/>
        <v>1</v>
      </c>
      <c r="O226" s="180">
        <f t="shared" si="34"/>
        <v>1</v>
      </c>
      <c r="P226" s="87" t="s">
        <v>124</v>
      </c>
      <c r="Q226" s="90">
        <f t="shared" si="35"/>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6"/>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40">I227/8</f>
        <v>0.51249999999999996</v>
      </c>
      <c r="K227" s="186">
        <f>SUMIFS(Table1[Horas efetivas],Table1[Tabela],Plano_V3!E227,Table1[Campo],Plano_V3!F227)</f>
        <v>4.0999999999999996</v>
      </c>
      <c r="L227" s="186">
        <f t="shared" ref="L227:L233" si="41">K227/8</f>
        <v>0.51249999999999996</v>
      </c>
      <c r="M227" s="180"/>
      <c r="N227" s="180">
        <f t="shared" ref="N227:N233" si="42">L227/J227</f>
        <v>1</v>
      </c>
      <c r="O227" s="180">
        <f t="shared" si="34"/>
        <v>1</v>
      </c>
      <c r="P227" s="87" t="s">
        <v>124</v>
      </c>
      <c r="Q227" s="90">
        <f t="shared" ref="Q227:Q233" si="43">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6"/>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40"/>
        <v>0.51249999999999996</v>
      </c>
      <c r="K228" s="186">
        <f>SUMIFS(Table1[Horas efetivas],Table1[Tabela],Plano_V3!E228,Table1[Campo],Plano_V3!F228)</f>
        <v>4.0999999999999996</v>
      </c>
      <c r="L228" s="186">
        <f t="shared" si="41"/>
        <v>0.51249999999999996</v>
      </c>
      <c r="M228" s="180"/>
      <c r="N228" s="180">
        <f t="shared" si="42"/>
        <v>1</v>
      </c>
      <c r="O228" s="180">
        <f t="shared" si="34"/>
        <v>1</v>
      </c>
      <c r="P228" s="87" t="s">
        <v>124</v>
      </c>
      <c r="Q228" s="90">
        <f t="shared" si="4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6"/>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40"/>
        <v>0.51249999999999996</v>
      </c>
      <c r="K229" s="186">
        <f>SUMIFS(Table1[Horas efetivas],Table1[Tabela],Plano_V3!E229,Table1[Campo],Plano_V3!F229)</f>
        <v>4.0999999999999996</v>
      </c>
      <c r="L229" s="186">
        <f t="shared" si="41"/>
        <v>0.51249999999999996</v>
      </c>
      <c r="M229" s="180"/>
      <c r="N229" s="180">
        <f t="shared" si="42"/>
        <v>1</v>
      </c>
      <c r="O229" s="180">
        <f t="shared" si="34"/>
        <v>1</v>
      </c>
      <c r="P229" s="87" t="s">
        <v>124</v>
      </c>
      <c r="Q229" s="90">
        <f t="shared" si="4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6"/>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40"/>
        <v>0.51249999999999996</v>
      </c>
      <c r="K230" s="186">
        <f>SUMIFS(Table1[Horas efetivas],Table1[Tabela],Plano_V3!E230,Table1[Campo],Plano_V3!F230)</f>
        <v>4.0999999999999996</v>
      </c>
      <c r="L230" s="186">
        <f t="shared" si="41"/>
        <v>0.51249999999999996</v>
      </c>
      <c r="M230" s="180"/>
      <c r="N230" s="180">
        <f t="shared" si="42"/>
        <v>1</v>
      </c>
      <c r="O230" s="180">
        <f t="shared" si="34"/>
        <v>1</v>
      </c>
      <c r="P230" s="87" t="s">
        <v>124</v>
      </c>
      <c r="Q230" s="90">
        <f t="shared" si="43"/>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6"/>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40"/>
        <v>0.51249999999999996</v>
      </c>
      <c r="K231" s="186">
        <f>SUMIFS(Table1[Horas efetivas],Table1[Tabela],Plano_V3!E231,Table1[Campo],Plano_V3!F231)</f>
        <v>4.0999999999999996</v>
      </c>
      <c r="L231" s="186">
        <f t="shared" si="41"/>
        <v>0.51249999999999996</v>
      </c>
      <c r="M231" s="180"/>
      <c r="N231" s="180">
        <f t="shared" si="42"/>
        <v>1</v>
      </c>
      <c r="O231" s="180">
        <f t="shared" si="34"/>
        <v>1</v>
      </c>
      <c r="P231" s="87" t="s">
        <v>124</v>
      </c>
      <c r="Q231" s="90">
        <f t="shared" si="43"/>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6"/>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40"/>
        <v>0.51249999999999996</v>
      </c>
      <c r="K232" s="186">
        <f>SUMIFS(Table1[Horas efetivas],Table1[Tabela],Plano_V3!E232,Table1[Campo],Plano_V3!F232)</f>
        <v>4.0999999999999996</v>
      </c>
      <c r="L232" s="186">
        <f t="shared" si="41"/>
        <v>0.51249999999999996</v>
      </c>
      <c r="M232" s="180"/>
      <c r="N232" s="180">
        <f t="shared" si="42"/>
        <v>1</v>
      </c>
      <c r="O232" s="180">
        <f t="shared" si="34"/>
        <v>1</v>
      </c>
      <c r="P232" s="87" t="s">
        <v>124</v>
      </c>
      <c r="Q232" s="90">
        <f t="shared" si="43"/>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6"/>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40"/>
        <v>0.51249999999999996</v>
      </c>
      <c r="K233" s="186">
        <f>SUMIFS(Table1[Horas efetivas],Table1[Tabela],Plano_V3!E233,Table1[Campo],Plano_V3!F233)</f>
        <v>4.0999999999999996</v>
      </c>
      <c r="L233" s="186">
        <f t="shared" si="41"/>
        <v>0.51249999999999996</v>
      </c>
      <c r="M233" s="180"/>
      <c r="N233" s="180">
        <f t="shared" si="42"/>
        <v>1</v>
      </c>
      <c r="O233" s="180">
        <f t="shared" si="34"/>
        <v>1</v>
      </c>
      <c r="P233" s="87" t="s">
        <v>124</v>
      </c>
      <c r="Q233" s="90">
        <f t="shared" si="43"/>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6"/>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4"/>
        <v>1</v>
      </c>
      <c r="P234" s="87" t="s">
        <v>124</v>
      </c>
      <c r="Q234" s="90">
        <f t="shared" si="35"/>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6"/>
        <v>PROPERTY_ENERGY_CERTIFICATECURRENT_ENERGY_RATING_PERCENTAGE</v>
      </c>
      <c r="B235" s="67"/>
      <c r="C235" s="68"/>
      <c r="D235" s="64" t="s">
        <v>40</v>
      </c>
      <c r="E235" s="66" t="s">
        <v>123</v>
      </c>
      <c r="F235" s="66" t="s">
        <v>2002</v>
      </c>
      <c r="G235" s="64" t="str">
        <f>INDEX(Auxiliar!$B$16:$B$24,MATCH(Plano_V3!H235,Auxiliar!$C$16:$C$24,0),1)</f>
        <v>2.1 Em Teste</v>
      </c>
      <c r="H235" s="64">
        <f>VLOOKUP(A235,'Aux - pivots1'!$A:$B,2,0)</f>
        <v>2</v>
      </c>
      <c r="I235" s="186">
        <f>SUMIFS(Table1[Estimação (horas)],Table1[Tabela],Plano_V3!E235,Table1[Campo],Plano_V3!F235)</f>
        <v>4.0999999999999996</v>
      </c>
      <c r="J235" s="186">
        <f t="shared" ref="J235" si="44">I235/8</f>
        <v>0.51249999999999996</v>
      </c>
      <c r="K235" s="186">
        <f>SUMIFS(Table1[Horas efetivas],Table1[Tabela],Plano_V3!E235,Table1[Campo],Plano_V3!F235)</f>
        <v>2.0499999999999998</v>
      </c>
      <c r="L235" s="186">
        <f t="shared" ref="L235" si="45">K235/8</f>
        <v>0.25624999999999998</v>
      </c>
      <c r="M235" s="180"/>
      <c r="N235" s="180">
        <f t="shared" ref="N235" si="46">L235/J235</f>
        <v>0.5</v>
      </c>
      <c r="O235" s="180">
        <f t="shared" ref="O235" si="47">N235-M235</f>
        <v>0.5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6"/>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9"/>
        <v>0.97778675282714034</v>
      </c>
      <c r="O236" s="180">
        <f t="shared" si="34"/>
        <v>0.97778675282714034</v>
      </c>
      <c r="P236" s="87"/>
      <c r="Q236" s="90">
        <f t="shared" si="35"/>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4.8" collapsed="1">
      <c r="A237" s="29" t="str">
        <f t="shared" ref="A237:A263" si="48">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4"/>
        <v>#N/A</v>
      </c>
      <c r="P237" s="191" t="s">
        <v>1870</v>
      </c>
      <c r="Q237" s="90" t="e">
        <f t="shared" si="35"/>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8"/>
        <v>modesg_param_sfics_taxon_europeian.a.</v>
      </c>
      <c r="B238" s="67" t="s">
        <v>26</v>
      </c>
      <c r="C238" s="68" t="s">
        <v>181</v>
      </c>
      <c r="D238" s="64" t="s">
        <v>36</v>
      </c>
      <c r="E238" s="66" t="s">
        <v>2154</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9">I238/8</f>
        <v>1.0625</v>
      </c>
      <c r="K238" s="186">
        <f>SUMIFS(Table1[Horas efetivas],Table1[Tabela],Plano_V3!E238,Table1[Campo],Plano_V3!F238)</f>
        <v>2.125</v>
      </c>
      <c r="L238" s="186">
        <f>K238/8</f>
        <v>0.265625</v>
      </c>
      <c r="M238" s="180"/>
      <c r="N238" s="180">
        <f>L238/J238</f>
        <v>0.25</v>
      </c>
      <c r="O238" s="180">
        <f t="shared" si="34"/>
        <v>0.25</v>
      </c>
      <c r="P238" s="89" t="s">
        <v>39</v>
      </c>
      <c r="Q238" s="90">
        <f t="shared" si="35"/>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8"/>
        <v>modesg_param_sfics_taxon_europeiaref_date</v>
      </c>
      <c r="B239" s="67" t="s">
        <v>26</v>
      </c>
      <c r="C239" s="68" t="s">
        <v>181</v>
      </c>
      <c r="D239" s="64" t="s">
        <v>40</v>
      </c>
      <c r="E239" s="66" t="s">
        <v>2154</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9"/>
        <v>7.4999999999999997E-2</v>
      </c>
      <c r="K239" s="186">
        <f>SUMIFS(Table1[Horas efetivas],Table1[Tabela],Plano_V3!E239,Table1[Campo],Plano_V3!F239)</f>
        <v>0.15</v>
      </c>
      <c r="L239" s="186">
        <f t="shared" ref="L239:L319" si="50">K239/8</f>
        <v>1.8749999999999999E-2</v>
      </c>
      <c r="M239" s="180"/>
      <c r="N239" s="180">
        <f t="shared" ref="N239:N319" si="51">L239/J239</f>
        <v>0.25</v>
      </c>
      <c r="O239" s="180">
        <f t="shared" si="34"/>
        <v>0.25</v>
      </c>
      <c r="P239" s="89" t="s">
        <v>39</v>
      </c>
      <c r="Q239" s="90">
        <f t="shared" si="35"/>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8"/>
        <v>modesg_param_sfics_taxon_europeiacod_regra</v>
      </c>
      <c r="B240" s="67" t="s">
        <v>26</v>
      </c>
      <c r="C240" s="68" t="s">
        <v>181</v>
      </c>
      <c r="D240" s="64" t="s">
        <v>40</v>
      </c>
      <c r="E240" s="66" t="s">
        <v>2154</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9"/>
        <v>7.4999999999999997E-2</v>
      </c>
      <c r="K240" s="186">
        <f>SUMIFS(Table1[Horas efetivas],Table1[Tabela],Plano_V3!E240,Table1[Campo],Plano_V3!F240)</f>
        <v>0.15</v>
      </c>
      <c r="L240" s="186">
        <f t="shared" si="50"/>
        <v>1.8749999999999999E-2</v>
      </c>
      <c r="M240" s="180"/>
      <c r="N240" s="180">
        <f t="shared" si="51"/>
        <v>0.25</v>
      </c>
      <c r="O240" s="180">
        <f t="shared" si="34"/>
        <v>0.25</v>
      </c>
      <c r="P240" s="89" t="s">
        <v>39</v>
      </c>
      <c r="Q240" s="90">
        <f t="shared" si="35"/>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8"/>
        <v>modesg_param_sfics_taxon_europeiadscrc</v>
      </c>
      <c r="B241" s="67" t="s">
        <v>26</v>
      </c>
      <c r="C241" s="68" t="s">
        <v>181</v>
      </c>
      <c r="D241" s="64" t="s">
        <v>40</v>
      </c>
      <c r="E241" s="66" t="s">
        <v>2154</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9"/>
        <v>#N/A</v>
      </c>
      <c r="K241" s="186" t="e">
        <f>SUMIFS(Table1[Horas efetivas],Table1[Tabela],Plano_V3!E241,Table1[Campo],Plano_V3!F241)</f>
        <v>#N/A</v>
      </c>
      <c r="L241" s="186" t="e">
        <f t="shared" si="50"/>
        <v>#N/A</v>
      </c>
      <c r="M241" s="180"/>
      <c r="N241" s="180" t="e">
        <f t="shared" si="51"/>
        <v>#N/A</v>
      </c>
      <c r="O241" s="180" t="e">
        <f t="shared" si="34"/>
        <v>#N/A</v>
      </c>
      <c r="P241" s="89" t="s">
        <v>39</v>
      </c>
      <c r="Q241" s="90" t="e">
        <f t="shared" si="35"/>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8"/>
        <v>modesg_param_sfics_taxon_europeiacomite</v>
      </c>
      <c r="B242" s="67" t="s">
        <v>26</v>
      </c>
      <c r="C242" s="68" t="s">
        <v>181</v>
      </c>
      <c r="D242" s="64" t="s">
        <v>40</v>
      </c>
      <c r="E242" s="66" t="s">
        <v>2154</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9"/>
        <v>#N/A</v>
      </c>
      <c r="K242" s="186" t="e">
        <f>SUMIFS(Table1[Horas efetivas],Table1[Tabela],Plano_V3!E242,Table1[Campo],Plano_V3!F242)</f>
        <v>#N/A</v>
      </c>
      <c r="L242" s="186" t="e">
        <f t="shared" si="50"/>
        <v>#N/A</v>
      </c>
      <c r="M242" s="180"/>
      <c r="N242" s="180" t="e">
        <f t="shared" si="51"/>
        <v>#N/A</v>
      </c>
      <c r="O242" s="180" t="e">
        <f t="shared" si="34"/>
        <v>#N/A</v>
      </c>
      <c r="P242" s="89" t="s">
        <v>39</v>
      </c>
      <c r="Q242" s="90" t="e">
        <f t="shared" si="35"/>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8"/>
        <v>modesg_param_sfics_taxon_europeiadata_aprvc</v>
      </c>
      <c r="B243" s="67" t="s">
        <v>26</v>
      </c>
      <c r="C243" s="68" t="s">
        <v>181</v>
      </c>
      <c r="D243" s="64" t="s">
        <v>40</v>
      </c>
      <c r="E243" s="66" t="s">
        <v>2154</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9"/>
        <v>#N/A</v>
      </c>
      <c r="K243" s="186" t="e">
        <f>SUMIFS(Table1[Horas efetivas],Table1[Tabela],Plano_V3!E243,Table1[Campo],Plano_V3!F243)</f>
        <v>#N/A</v>
      </c>
      <c r="L243" s="186" t="e">
        <f t="shared" si="50"/>
        <v>#N/A</v>
      </c>
      <c r="M243" s="180"/>
      <c r="N243" s="180" t="e">
        <f t="shared" si="51"/>
        <v>#N/A</v>
      </c>
      <c r="O243" s="180" t="e">
        <f t="shared" si="34"/>
        <v>#N/A</v>
      </c>
      <c r="P243" s="89" t="s">
        <v>39</v>
      </c>
      <c r="Q243" s="90" t="e">
        <f t="shared" si="35"/>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8"/>
        <v>modesg_param_sfics_taxon_europeiadata_inicial</v>
      </c>
      <c r="B244" s="67" t="s">
        <v>26</v>
      </c>
      <c r="C244" s="68" t="s">
        <v>181</v>
      </c>
      <c r="D244" s="64" t="s">
        <v>40</v>
      </c>
      <c r="E244" s="66" t="s">
        <v>2154</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9"/>
        <v>#N/A</v>
      </c>
      <c r="K244" s="186" t="e">
        <f>SUMIFS(Table1[Horas efetivas],Table1[Tabela],Plano_V3!E244,Table1[Campo],Plano_V3!F244)</f>
        <v>#N/A</v>
      </c>
      <c r="L244" s="186" t="e">
        <f t="shared" si="50"/>
        <v>#N/A</v>
      </c>
      <c r="M244" s="180"/>
      <c r="N244" s="180" t="e">
        <f t="shared" si="51"/>
        <v>#N/A</v>
      </c>
      <c r="O244" s="180" t="e">
        <f t="shared" si="34"/>
        <v>#N/A</v>
      </c>
      <c r="P244" s="89" t="s">
        <v>39</v>
      </c>
      <c r="Q244" s="90" t="e">
        <f t="shared" si="35"/>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8"/>
        <v>modesg_param_sfics_taxon_europeiadata_final</v>
      </c>
      <c r="B245" s="67" t="s">
        <v>26</v>
      </c>
      <c r="C245" s="68" t="s">
        <v>181</v>
      </c>
      <c r="D245" s="64" t="s">
        <v>40</v>
      </c>
      <c r="E245" s="66" t="s">
        <v>2154</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9"/>
        <v>#N/A</v>
      </c>
      <c r="K245" s="186" t="e">
        <f>SUMIFS(Table1[Horas efetivas],Table1[Tabela],Plano_V3!E245,Table1[Campo],Plano_V3!F245)</f>
        <v>#N/A</v>
      </c>
      <c r="L245" s="186" t="e">
        <f t="shared" si="50"/>
        <v>#N/A</v>
      </c>
      <c r="M245" s="180"/>
      <c r="N245" s="180" t="e">
        <f t="shared" si="51"/>
        <v>#N/A</v>
      </c>
      <c r="O245" s="180" t="e">
        <f t="shared" si="34"/>
        <v>#N/A</v>
      </c>
      <c r="P245" s="89" t="s">
        <v>39</v>
      </c>
      <c r="Q245" s="90" t="e">
        <f t="shared" si="35"/>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8"/>
        <v>modesg_param_sfics_taxon_europeiazcliente</v>
      </c>
      <c r="B246" s="67" t="s">
        <v>26</v>
      </c>
      <c r="C246" s="68" t="s">
        <v>181</v>
      </c>
      <c r="D246" s="64" t="s">
        <v>40</v>
      </c>
      <c r="E246" s="66" t="s">
        <v>2154</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9"/>
        <v>#N/A</v>
      </c>
      <c r="K246" s="186" t="e">
        <f>SUMIFS(Table1[Horas efetivas],Table1[Tabela],Plano_V3!E246,Table1[Campo],Plano_V3!F246)</f>
        <v>#N/A</v>
      </c>
      <c r="L246" s="186" t="e">
        <f t="shared" si="50"/>
        <v>#N/A</v>
      </c>
      <c r="M246" s="180"/>
      <c r="N246" s="180" t="e">
        <f t="shared" si="51"/>
        <v>#N/A</v>
      </c>
      <c r="O246" s="180" t="e">
        <f t="shared" si="34"/>
        <v>#N/A</v>
      </c>
      <c r="P246" s="89" t="s">
        <v>39</v>
      </c>
      <c r="Q246" s="90" t="e">
        <f t="shared" si="35"/>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8"/>
        <v>modesg_param_sfics_taxon_europeiacontraparte</v>
      </c>
      <c r="B247" s="67" t="s">
        <v>26</v>
      </c>
      <c r="C247" s="68" t="s">
        <v>181</v>
      </c>
      <c r="D247" s="64" t="s">
        <v>40</v>
      </c>
      <c r="E247" s="66" t="s">
        <v>2154</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9"/>
        <v>#N/A</v>
      </c>
      <c r="K247" s="186" t="e">
        <f>SUMIFS(Table1[Horas efetivas],Table1[Tabela],Plano_V3!E247,Table1[Campo],Plano_V3!F247)</f>
        <v>#N/A</v>
      </c>
      <c r="L247" s="186" t="e">
        <f t="shared" si="50"/>
        <v>#N/A</v>
      </c>
      <c r="M247" s="180"/>
      <c r="N247" s="180" t="e">
        <f t="shared" si="51"/>
        <v>#N/A</v>
      </c>
      <c r="O247" s="180" t="e">
        <f t="shared" si="34"/>
        <v>#N/A</v>
      </c>
      <c r="P247" s="89" t="s">
        <v>39</v>
      </c>
      <c r="Q247" s="90" t="e">
        <f t="shared" si="35"/>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8"/>
        <v>modesg_param_sfics_taxon_europeiacempresa</v>
      </c>
      <c r="B248" s="67" t="s">
        <v>26</v>
      </c>
      <c r="C248" s="68" t="s">
        <v>181</v>
      </c>
      <c r="D248" s="64" t="s">
        <v>40</v>
      </c>
      <c r="E248" s="66" t="s">
        <v>2154</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9"/>
        <v>#N/A</v>
      </c>
      <c r="K248" s="186" t="e">
        <f>SUMIFS(Table1[Horas efetivas],Table1[Tabela],Plano_V3!E248,Table1[Campo],Plano_V3!F248)</f>
        <v>#N/A</v>
      </c>
      <c r="L248" s="186" t="e">
        <f t="shared" si="50"/>
        <v>#N/A</v>
      </c>
      <c r="M248" s="180"/>
      <c r="N248" s="180" t="e">
        <f t="shared" si="51"/>
        <v>#N/A</v>
      </c>
      <c r="O248" s="180" t="e">
        <f t="shared" si="34"/>
        <v>#N/A</v>
      </c>
      <c r="P248" s="89" t="s">
        <v>39</v>
      </c>
      <c r="Q248" s="90" t="e">
        <f t="shared" si="35"/>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8"/>
        <v>modesg_param_sfics_taxon_europeiacbalcao</v>
      </c>
      <c r="B249" s="67" t="s">
        <v>26</v>
      </c>
      <c r="C249" s="68" t="s">
        <v>181</v>
      </c>
      <c r="D249" s="64" t="s">
        <v>40</v>
      </c>
      <c r="E249" s="66" t="s">
        <v>2154</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9"/>
        <v>#N/A</v>
      </c>
      <c r="K249" s="186" t="e">
        <f>SUMIFS(Table1[Horas efetivas],Table1[Tabela],Plano_V3!E249,Table1[Campo],Plano_V3!F249)</f>
        <v>#N/A</v>
      </c>
      <c r="L249" s="186" t="e">
        <f t="shared" si="50"/>
        <v>#N/A</v>
      </c>
      <c r="M249" s="180"/>
      <c r="N249" s="180" t="e">
        <f t="shared" si="51"/>
        <v>#N/A</v>
      </c>
      <c r="O249" s="180" t="e">
        <f t="shared" si="34"/>
        <v>#N/A</v>
      </c>
      <c r="P249" s="89" t="s">
        <v>39</v>
      </c>
      <c r="Q249" s="90" t="e">
        <f t="shared" si="35"/>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8"/>
        <v>modesg_param_sfics_taxon_europeiacnumecta</v>
      </c>
      <c r="B250" s="67" t="s">
        <v>26</v>
      </c>
      <c r="C250" s="68" t="s">
        <v>181</v>
      </c>
      <c r="D250" s="64" t="s">
        <v>40</v>
      </c>
      <c r="E250" s="66" t="s">
        <v>2154</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9"/>
        <v>#N/A</v>
      </c>
      <c r="K250" s="186" t="e">
        <f>SUMIFS(Table1[Horas efetivas],Table1[Tabela],Plano_V3!E250,Table1[Campo],Plano_V3!F250)</f>
        <v>#N/A</v>
      </c>
      <c r="L250" s="186" t="e">
        <f t="shared" si="50"/>
        <v>#N/A</v>
      </c>
      <c r="M250" s="180"/>
      <c r="N250" s="180" t="e">
        <f t="shared" si="51"/>
        <v>#N/A</v>
      </c>
      <c r="O250" s="180" t="e">
        <f t="shared" ref="O250:O328" si="52">N250-M250</f>
        <v>#N/A</v>
      </c>
      <c r="P250" s="89" t="s">
        <v>39</v>
      </c>
      <c r="Q250" s="90" t="e">
        <f t="shared" si="35"/>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8"/>
        <v>modesg_param_sfics_taxon_europeiazdeposit</v>
      </c>
      <c r="B251" s="67" t="s">
        <v>26</v>
      </c>
      <c r="C251" s="68" t="s">
        <v>181</v>
      </c>
      <c r="D251" s="64" t="s">
        <v>40</v>
      </c>
      <c r="E251" s="66" t="s">
        <v>2154</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9"/>
        <v>#N/A</v>
      </c>
      <c r="K251" s="186" t="e">
        <f>SUMIFS(Table1[Horas efetivas],Table1[Tabela],Plano_V3!E251,Table1[Campo],Plano_V3!F251)</f>
        <v>#N/A</v>
      </c>
      <c r="L251" s="186" t="e">
        <f t="shared" si="50"/>
        <v>#N/A</v>
      </c>
      <c r="M251" s="180"/>
      <c r="N251" s="180" t="e">
        <f t="shared" si="51"/>
        <v>#N/A</v>
      </c>
      <c r="O251" s="180" t="e">
        <f t="shared" si="52"/>
        <v>#N/A</v>
      </c>
      <c r="P251" s="89" t="s">
        <v>39</v>
      </c>
      <c r="Q251" s="90" t="e">
        <f t="shared" si="35"/>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8"/>
        <v>modesg_param_sfics_taxon_europeiackmetamis</v>
      </c>
      <c r="B252" s="67" t="s">
        <v>26</v>
      </c>
      <c r="C252" s="68" t="s">
        <v>181</v>
      </c>
      <c r="D252" s="64" t="s">
        <v>40</v>
      </c>
      <c r="E252" s="66" t="s">
        <v>2154</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9"/>
        <v>#N/A</v>
      </c>
      <c r="K252" s="186" t="e">
        <f>SUMIFS(Table1[Horas efetivas],Table1[Tabela],Plano_V3!E252,Table1[Campo],Plano_V3!F252)</f>
        <v>#N/A</v>
      </c>
      <c r="L252" s="186" t="e">
        <f t="shared" si="50"/>
        <v>#N/A</v>
      </c>
      <c r="M252" s="180"/>
      <c r="N252" s="180" t="e">
        <f t="shared" si="51"/>
        <v>#N/A</v>
      </c>
      <c r="O252" s="180" t="e">
        <f t="shared" si="52"/>
        <v>#N/A</v>
      </c>
      <c r="P252" s="89" t="s">
        <v>39</v>
      </c>
      <c r="Q252" s="90" t="e">
        <f t="shared" si="35"/>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8"/>
        <v>modesg_param_sfics_taxon_europeiackprodmi</v>
      </c>
      <c r="B253" s="67" t="s">
        <v>26</v>
      </c>
      <c r="C253" s="68" t="s">
        <v>181</v>
      </c>
      <c r="D253" s="64" t="s">
        <v>40</v>
      </c>
      <c r="E253" s="66" t="s">
        <v>2154</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9"/>
        <v>#N/A</v>
      </c>
      <c r="K253" s="186" t="e">
        <f>SUMIFS(Table1[Horas efetivas],Table1[Tabela],Plano_V3!E253,Table1[Campo],Plano_V3!F253)</f>
        <v>#N/A</v>
      </c>
      <c r="L253" s="186" t="e">
        <f t="shared" si="50"/>
        <v>#N/A</v>
      </c>
      <c r="M253" s="180"/>
      <c r="N253" s="180" t="e">
        <f t="shared" si="51"/>
        <v>#N/A</v>
      </c>
      <c r="O253" s="180" t="e">
        <f t="shared" si="52"/>
        <v>#N/A</v>
      </c>
      <c r="P253" s="89" t="s">
        <v>39</v>
      </c>
      <c r="Q253" s="90" t="e">
        <f t="shared" si="35"/>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8"/>
        <v>modesg_param_sfics_taxon_europeiaprdt_sprdt</v>
      </c>
      <c r="B254" s="67" t="s">
        <v>26</v>
      </c>
      <c r="C254" s="68" t="s">
        <v>181</v>
      </c>
      <c r="D254" s="64" t="s">
        <v>40</v>
      </c>
      <c r="E254" s="66" t="s">
        <v>2154</v>
      </c>
      <c r="F254" s="64" t="s">
        <v>2102</v>
      </c>
      <c r="G254" s="64" t="str">
        <f>INDEX(Auxiliar!$B$16:$B$24,MATCH(Plano_V3!H254,Auxiliar!$C$16:$C$24,0),1)</f>
        <v>4. Validação EF</v>
      </c>
      <c r="H254" s="64">
        <f>VLOOKUP(A254,'Aux - pivots1'!$A:$B,2,0)</f>
        <v>5</v>
      </c>
      <c r="I254" s="186" t="e">
        <f>SUMIFS(Table1[Estimação (horas)],Table1[Tabela],Plano_V3!E254,Table1[Campo],Plano_V3!F254)</f>
        <v>#N/A</v>
      </c>
      <c r="J254" s="186" t="e">
        <f t="shared" si="49"/>
        <v>#N/A</v>
      </c>
      <c r="K254" s="186" t="e">
        <f>SUMIFS(Table1[Horas efetivas],Table1[Tabela],Plano_V3!E254,Table1[Campo],Plano_V3!F254)</f>
        <v>#N/A</v>
      </c>
      <c r="L254" s="186" t="e">
        <f t="shared" si="50"/>
        <v>#N/A</v>
      </c>
      <c r="M254" s="180"/>
      <c r="N254" s="180" t="e">
        <f t="shared" si="51"/>
        <v>#N/A</v>
      </c>
      <c r="O254" s="180" t="e">
        <f t="shared" si="52"/>
        <v>#N/A</v>
      </c>
      <c r="P254" s="89" t="s">
        <v>39</v>
      </c>
      <c r="Q254" s="90" t="e">
        <f t="shared" si="35"/>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8"/>
        <v>modesg_param_sfics_taxon_europeiacmetanseg</v>
      </c>
      <c r="B255" s="67" t="s">
        <v>26</v>
      </c>
      <c r="C255" s="68" t="s">
        <v>181</v>
      </c>
      <c r="D255" s="64" t="s">
        <v>40</v>
      </c>
      <c r="E255" s="66" t="s">
        <v>2154</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9"/>
        <v>#N/A</v>
      </c>
      <c r="K255" s="186" t="e">
        <f>SUMIFS(Table1[Horas efetivas],Table1[Tabela],Plano_V3!E255,Table1[Campo],Plano_V3!F255)</f>
        <v>#N/A</v>
      </c>
      <c r="L255" s="186" t="e">
        <f t="shared" si="50"/>
        <v>#N/A</v>
      </c>
      <c r="M255" s="180"/>
      <c r="N255" s="180" t="e">
        <f t="shared" si="51"/>
        <v>#N/A</v>
      </c>
      <c r="O255" s="180" t="e">
        <f t="shared" si="52"/>
        <v>#N/A</v>
      </c>
      <c r="P255" s="89" t="s">
        <v>39</v>
      </c>
      <c r="Q255" s="90" t="e">
        <f t="shared" si="35"/>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8"/>
        <v>modesg_param_sfics_taxon_europeiaepc</v>
      </c>
      <c r="B256" s="67" t="s">
        <v>26</v>
      </c>
      <c r="C256" s="68" t="s">
        <v>181</v>
      </c>
      <c r="D256" s="64" t="s">
        <v>40</v>
      </c>
      <c r="E256" s="66" t="s">
        <v>2154</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9"/>
        <v>#N/A</v>
      </c>
      <c r="K256" s="186" t="e">
        <f>SUMIFS(Table1[Horas efetivas],Table1[Tabela],Plano_V3!E256,Table1[Campo],Plano_V3!F256)</f>
        <v>#N/A</v>
      </c>
      <c r="L256" s="186" t="e">
        <f t="shared" si="50"/>
        <v>#N/A</v>
      </c>
      <c r="M256" s="180"/>
      <c r="N256" s="180" t="e">
        <f t="shared" si="51"/>
        <v>#N/A</v>
      </c>
      <c r="O256" s="180" t="e">
        <f t="shared" si="52"/>
        <v>#N/A</v>
      </c>
      <c r="P256" s="89" t="s">
        <v>39</v>
      </c>
      <c r="Q256" s="90" t="e">
        <f t="shared" si="35"/>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8"/>
        <v>modesg_param_sfics_taxon_europeiaquality_score</v>
      </c>
      <c r="B257" s="67" t="s">
        <v>26</v>
      </c>
      <c r="C257" s="68" t="s">
        <v>181</v>
      </c>
      <c r="D257" s="64" t="s">
        <v>40</v>
      </c>
      <c r="E257" s="66" t="s">
        <v>2154</v>
      </c>
      <c r="F257" s="64" t="s">
        <v>2111</v>
      </c>
      <c r="G257" s="64" t="str">
        <f>INDEX(Auxiliar!$B$16:$B$24,MATCH(Plano_V3!H257,Auxiliar!$C$16:$C$24,0),1)</f>
        <v>4. Validação EF</v>
      </c>
      <c r="H257" s="64">
        <f>VLOOKUP(A257,'Aux - pivots1'!$A:$B,2,0)</f>
        <v>5</v>
      </c>
      <c r="I257" s="186" t="e">
        <f>SUMIFS(Table1[Estimação (horas)],Table1[Tabela],Plano_V3!E257,Table1[Campo],Plano_V3!F257)</f>
        <v>#N/A</v>
      </c>
      <c r="J257" s="186" t="e">
        <f t="shared" si="49"/>
        <v>#N/A</v>
      </c>
      <c r="K257" s="186" t="e">
        <f>SUMIFS(Table1[Horas efetivas],Table1[Tabela],Plano_V3!E257,Table1[Campo],Plano_V3!F257)</f>
        <v>#N/A</v>
      </c>
      <c r="L257" s="186" t="e">
        <f t="shared" si="50"/>
        <v>#N/A</v>
      </c>
      <c r="M257" s="180"/>
      <c r="N257" s="180" t="e">
        <f t="shared" si="51"/>
        <v>#N/A</v>
      </c>
      <c r="O257" s="180" t="e">
        <f t="shared" si="52"/>
        <v>#N/A</v>
      </c>
      <c r="P257" s="89" t="s">
        <v>39</v>
      </c>
      <c r="Q257" s="90" t="e">
        <f t="shared" si="35"/>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8"/>
        <v>modesg_param_sfics_taxon_europeianzeb</v>
      </c>
      <c r="B258" s="67" t="s">
        <v>26</v>
      </c>
      <c r="C258" s="68" t="s">
        <v>181</v>
      </c>
      <c r="D258" s="64" t="s">
        <v>40</v>
      </c>
      <c r="E258" s="66" t="s">
        <v>2154</v>
      </c>
      <c r="F258" s="64" t="s">
        <v>2112</v>
      </c>
      <c r="G258" s="64" t="str">
        <f>INDEX(Auxiliar!$B$16:$B$24,MATCH(Plano_V3!H258,Auxiliar!$C$16:$C$24,0),1)</f>
        <v>4. Validação EF</v>
      </c>
      <c r="H258" s="64">
        <f>VLOOKUP(A258,'Aux - pivots1'!$A:$B,2,0)</f>
        <v>5</v>
      </c>
      <c r="I258" s="186" t="e">
        <f>SUMIFS(Table1[Estimação (horas)],Table1[Tabela],Plano_V3!E258,Table1[Campo],Plano_V3!F258)</f>
        <v>#N/A</v>
      </c>
      <c r="J258" s="186" t="e">
        <f t="shared" si="49"/>
        <v>#N/A</v>
      </c>
      <c r="K258" s="186" t="e">
        <f>SUMIFS(Table1[Horas efetivas],Table1[Tabela],Plano_V3!E258,Table1[Campo],Plano_V3!F258)</f>
        <v>#N/A</v>
      </c>
      <c r="L258" s="186" t="e">
        <f t="shared" si="50"/>
        <v>#N/A</v>
      </c>
      <c r="M258" s="180"/>
      <c r="N258" s="180" t="e">
        <f t="shared" si="51"/>
        <v>#N/A</v>
      </c>
      <c r="O258" s="180" t="e">
        <f t="shared" si="52"/>
        <v>#N/A</v>
      </c>
      <c r="P258" s="89" t="s">
        <v>39</v>
      </c>
      <c r="Q258" s="90" t="e">
        <f t="shared" ref="Q258:Q339" si="53">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8"/>
        <v>modesg_param_sfics_taxon_europeiaRIEE</v>
      </c>
      <c r="B259" s="67" t="s">
        <v>26</v>
      </c>
      <c r="C259" s="68" t="s">
        <v>181</v>
      </c>
      <c r="D259" s="64" t="s">
        <v>40</v>
      </c>
      <c r="E259" s="66" t="s">
        <v>2154</v>
      </c>
      <c r="F259" s="64" t="s">
        <v>2113</v>
      </c>
      <c r="G259" s="64" t="str">
        <f>INDEX(Auxiliar!$B$16:$B$24,MATCH(Plano_V3!H259,Auxiliar!$C$16:$C$24,0),1)</f>
        <v>4. Validação EF</v>
      </c>
      <c r="H259" s="64">
        <f>VLOOKUP(A259,'Aux - pivots1'!$A:$B,2,0)</f>
        <v>5</v>
      </c>
      <c r="I259" s="186" t="e">
        <f>SUMIFS(Table1[Estimação (horas)],Table1[Tabela],Plano_V3!E259,Table1[Campo],Plano_V3!F259)</f>
        <v>#N/A</v>
      </c>
      <c r="J259" s="186" t="e">
        <f t="shared" si="49"/>
        <v>#N/A</v>
      </c>
      <c r="K259" s="186" t="e">
        <f>SUMIFS(Table1[Horas efetivas],Table1[Tabela],Plano_V3!E259,Table1[Campo],Plano_V3!F259)</f>
        <v>#N/A</v>
      </c>
      <c r="L259" s="186" t="e">
        <f t="shared" si="50"/>
        <v>#N/A</v>
      </c>
      <c r="M259" s="180"/>
      <c r="N259" s="180" t="e">
        <f t="shared" si="51"/>
        <v>#N/A</v>
      </c>
      <c r="O259" s="180" t="e">
        <f t="shared" si="52"/>
        <v>#N/A</v>
      </c>
      <c r="P259" s="89" t="s">
        <v>39</v>
      </c>
      <c r="Q259" s="90" t="e">
        <f t="shared" si="53"/>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8"/>
        <v>modesg_param_sfics_taxon_europeiaRNT</v>
      </c>
      <c r="B260" s="67" t="s">
        <v>26</v>
      </c>
      <c r="C260" s="68" t="s">
        <v>181</v>
      </c>
      <c r="D260" s="64" t="s">
        <v>40</v>
      </c>
      <c r="E260" s="66" t="s">
        <v>2154</v>
      </c>
      <c r="F260" s="64" t="s">
        <v>2114</v>
      </c>
      <c r="G260" s="64" t="str">
        <f>INDEX(Auxiliar!$B$16:$B$24,MATCH(Plano_V3!H260,Auxiliar!$C$16:$C$24,0),1)</f>
        <v>4. Validação EF</v>
      </c>
      <c r="H260" s="64">
        <f>VLOOKUP(A260,'Aux - pivots1'!$A:$B,2,0)</f>
        <v>5</v>
      </c>
      <c r="I260" s="186" t="e">
        <f>SUMIFS(Table1[Estimação (horas)],Table1[Tabela],Plano_V3!E260,Table1[Campo],Plano_V3!F260)</f>
        <v>#N/A</v>
      </c>
      <c r="J260" s="186" t="e">
        <f t="shared" si="49"/>
        <v>#N/A</v>
      </c>
      <c r="K260" s="186" t="e">
        <f>SUMIFS(Table1[Horas efetivas],Table1[Tabela],Plano_V3!E260,Table1[Campo],Plano_V3!F260)</f>
        <v>#N/A</v>
      </c>
      <c r="L260" s="186" t="e">
        <f t="shared" si="50"/>
        <v>#N/A</v>
      </c>
      <c r="M260" s="180"/>
      <c r="N260" s="180" t="e">
        <f t="shared" si="51"/>
        <v>#N/A</v>
      </c>
      <c r="O260" s="180" t="e">
        <f t="shared" si="52"/>
        <v>#N/A</v>
      </c>
      <c r="P260" s="89" t="s">
        <v>39</v>
      </c>
      <c r="Q260" s="90" t="e">
        <f t="shared" si="53"/>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8"/>
        <v>modesg_param_sfics_taxon_europeiaflg_rsc_fsc_crnc</v>
      </c>
      <c r="B261" s="67" t="s">
        <v>26</v>
      </c>
      <c r="C261" s="68" t="s">
        <v>181</v>
      </c>
      <c r="D261" s="64" t="s">
        <v>40</v>
      </c>
      <c r="E261" s="66" t="s">
        <v>2154</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9"/>
        <v>#N/A</v>
      </c>
      <c r="K261" s="186" t="e">
        <f>SUMIFS(Table1[Horas efetivas],Table1[Tabela],Plano_V3!E261,Table1[Campo],Plano_V3!F261)</f>
        <v>#N/A</v>
      </c>
      <c r="L261" s="186" t="e">
        <f t="shared" si="50"/>
        <v>#N/A</v>
      </c>
      <c r="M261" s="180"/>
      <c r="N261" s="180" t="e">
        <f t="shared" si="51"/>
        <v>#N/A</v>
      </c>
      <c r="O261" s="180" t="e">
        <f t="shared" si="52"/>
        <v>#N/A</v>
      </c>
      <c r="P261" s="89" t="s">
        <v>39</v>
      </c>
      <c r="Q261" s="90" t="e">
        <f t="shared" si="53"/>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8"/>
        <v>modesg_param_sfics_taxon_europeiaflg_rsc_fsc_agd</v>
      </c>
      <c r="B262" s="67" t="s">
        <v>26</v>
      </c>
      <c r="C262" s="68" t="s">
        <v>181</v>
      </c>
      <c r="D262" s="64" t="s">
        <v>40</v>
      </c>
      <c r="E262" s="66" t="s">
        <v>2154</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9"/>
        <v>#N/A</v>
      </c>
      <c r="K262" s="186" t="e">
        <f>SUMIFS(Table1[Horas efetivas],Table1[Tabela],Plano_V3!E262,Table1[Campo],Plano_V3!F262)</f>
        <v>#N/A</v>
      </c>
      <c r="L262" s="186" t="e">
        <f t="shared" si="50"/>
        <v>#N/A</v>
      </c>
      <c r="M262" s="180"/>
      <c r="N262" s="180" t="e">
        <f t="shared" si="51"/>
        <v>#N/A</v>
      </c>
      <c r="O262" s="180" t="e">
        <f t="shared" si="52"/>
        <v>#N/A</v>
      </c>
      <c r="P262" s="89" t="s">
        <v>39</v>
      </c>
      <c r="Q262" s="90" t="e">
        <f t="shared" si="5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8"/>
        <v>modesg_param_sfics_taxon_europeiaconstruction_year</v>
      </c>
      <c r="B263" s="67" t="s">
        <v>26</v>
      </c>
      <c r="C263" s="68" t="s">
        <v>181</v>
      </c>
      <c r="D263" s="64" t="s">
        <v>40</v>
      </c>
      <c r="E263" s="66" t="s">
        <v>2154</v>
      </c>
      <c r="F263" s="64" t="s">
        <v>2110</v>
      </c>
      <c r="G263" s="64" t="str">
        <f>INDEX(Auxiliar!$B$16:$B$24,MATCH(Plano_V3!H263,Auxiliar!$C$16:$C$24,0),1)</f>
        <v>4. Validação EF</v>
      </c>
      <c r="H263" s="64">
        <f>VLOOKUP(A263,'Aux - pivots1'!$A:$B,2,0)</f>
        <v>5</v>
      </c>
      <c r="I263" s="186" t="e">
        <f>SUMIFS(Table1[Estimação (horas)],Table1[Tabela],Plano_V3!E263,Table1[Campo],Plano_V3!F263)</f>
        <v>#N/A</v>
      </c>
      <c r="J263" s="186" t="e">
        <f t="shared" si="49"/>
        <v>#N/A</v>
      </c>
      <c r="K263" s="186" t="e">
        <f>SUMIFS(Table1[Horas efetivas],Table1[Tabela],Plano_V3!E263,Table1[Campo],Plano_V3!F263)</f>
        <v>#N/A</v>
      </c>
      <c r="L263" s="186" t="e">
        <f t="shared" si="50"/>
        <v>#N/A</v>
      </c>
      <c r="M263" s="180"/>
      <c r="N263" s="180" t="e">
        <f t="shared" si="51"/>
        <v>#N/A</v>
      </c>
      <c r="O263" s="180" t="e">
        <f t="shared" si="52"/>
        <v>#N/A</v>
      </c>
      <c r="P263" s="89" t="s">
        <v>39</v>
      </c>
      <c r="Q263" s="90" t="e">
        <f t="shared" si="5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54">E264&amp;F264</f>
        <v>modesg_param_sfics_taxon_europeiaproperty_purpose_code</v>
      </c>
      <c r="B264" s="67" t="s">
        <v>26</v>
      </c>
      <c r="C264" s="68" t="s">
        <v>181</v>
      </c>
      <c r="D264" s="64" t="s">
        <v>40</v>
      </c>
      <c r="E264" s="66" t="s">
        <v>2154</v>
      </c>
      <c r="F264" s="64" t="s">
        <v>2107</v>
      </c>
      <c r="G264" s="64" t="str">
        <f>INDEX(Auxiliar!$B$16:$B$24,MATCH(Plano_V3!H264,Auxiliar!$C$16:$C$24,0),1)</f>
        <v>4. Validação EF</v>
      </c>
      <c r="H264" s="64">
        <f>VLOOKUP(A264,'Aux - pivots1'!$A:$B,2,0)</f>
        <v>5</v>
      </c>
      <c r="I264" s="186" t="e">
        <f>SUMIFS(Table1[Estimação (horas)],Table1[Tabela],Plano_V3!E264,Table1[Campo],Plano_V3!F264)</f>
        <v>#N/A</v>
      </c>
      <c r="J264" s="186" t="e">
        <f t="shared" si="49"/>
        <v>#N/A</v>
      </c>
      <c r="K264" s="186" t="e">
        <f>SUMIFS(Table1[Horas efetivas],Table1[Tabela],Plano_V3!E264,Table1[Campo],Plano_V3!F264)</f>
        <v>#N/A</v>
      </c>
      <c r="L264" s="186" t="e">
        <f t="shared" si="50"/>
        <v>#N/A</v>
      </c>
      <c r="M264" s="180"/>
      <c r="N264" s="180" t="e">
        <f t="shared" si="51"/>
        <v>#N/A</v>
      </c>
      <c r="O264" s="180" t="e">
        <f t="shared" si="52"/>
        <v>#N/A</v>
      </c>
      <c r="P264" s="89" t="s">
        <v>39</v>
      </c>
      <c r="Q264" s="90" t="e">
        <f t="shared" si="5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54"/>
        <v>modesg_param_sfics_taxon_europeiacfamilia</v>
      </c>
      <c r="B265" s="67" t="s">
        <v>26</v>
      </c>
      <c r="C265" s="68" t="s">
        <v>181</v>
      </c>
      <c r="D265" s="64" t="s">
        <v>40</v>
      </c>
      <c r="E265" s="66" t="s">
        <v>2154</v>
      </c>
      <c r="F265" s="64" t="s">
        <v>2106</v>
      </c>
      <c r="G265" s="64" t="str">
        <f>INDEX(Auxiliar!$B$16:$B$24,MATCH(Plano_V3!H265,Auxiliar!$C$16:$C$24,0),1)</f>
        <v>4. Validação EF</v>
      </c>
      <c r="H265" s="64">
        <f>VLOOKUP(A265,'Aux - pivots1'!$A:$B,2,0)</f>
        <v>5</v>
      </c>
      <c r="I265" s="186">
        <f>SUMIFS(Table1[Estimação (horas)],Table1[Tabela],Plano_V3!E265,Table1[Campo],Plano_V3!F265)</f>
        <v>0.6</v>
      </c>
      <c r="J265" s="186">
        <f t="shared" si="49"/>
        <v>7.4999999999999997E-2</v>
      </c>
      <c r="K265" s="186">
        <f>SUMIFS(Table1[Horas efetivas],Table1[Tabela],Plano_V3!E265,Table1[Campo],Plano_V3!F265)</f>
        <v>0.15</v>
      </c>
      <c r="L265" s="186">
        <f t="shared" si="50"/>
        <v>1.8749999999999999E-2</v>
      </c>
      <c r="M265" s="180"/>
      <c r="N265" s="180">
        <f t="shared" si="51"/>
        <v>0.25</v>
      </c>
      <c r="O265" s="180">
        <f t="shared" si="52"/>
        <v>0.25</v>
      </c>
      <c r="P265" s="89" t="s">
        <v>39</v>
      </c>
      <c r="Q265" s="90">
        <f t="shared" si="53"/>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54"/>
        <v>modesg_param_sfics_taxon_europeiacfinalidad</v>
      </c>
      <c r="B266" s="67" t="s">
        <v>26</v>
      </c>
      <c r="C266" s="68" t="s">
        <v>181</v>
      </c>
      <c r="D266" s="64" t="s">
        <v>40</v>
      </c>
      <c r="E266" s="66" t="s">
        <v>2154</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9"/>
        <v>7.4999999999999997E-2</v>
      </c>
      <c r="K266" s="186">
        <f>SUMIFS(Table1[Horas efetivas],Table1[Tabela],Plano_V3!E266,Table1[Campo],Plano_V3!F266)</f>
        <v>0.15</v>
      </c>
      <c r="L266" s="186">
        <f t="shared" si="50"/>
        <v>1.8749999999999999E-2</v>
      </c>
      <c r="M266" s="180"/>
      <c r="N266" s="180">
        <f t="shared" si="51"/>
        <v>0.25</v>
      </c>
      <c r="O266" s="180">
        <f t="shared" si="52"/>
        <v>0.25</v>
      </c>
      <c r="P266" s="89" t="s">
        <v>39</v>
      </c>
      <c r="Q266" s="90">
        <f t="shared" si="53"/>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54"/>
        <v>modesg_param_sfics_taxon_europeiaflag_project_finance</v>
      </c>
      <c r="B267" s="67" t="s">
        <v>26</v>
      </c>
      <c r="C267" s="68" t="s">
        <v>181</v>
      </c>
      <c r="D267" s="64" t="s">
        <v>40</v>
      </c>
      <c r="E267" s="66" t="s">
        <v>2154</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52"/>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54"/>
        <v>modesg_param_sfics_taxon_europeiatipo_eqp</v>
      </c>
      <c r="B268" s="67" t="s">
        <v>26</v>
      </c>
      <c r="C268" s="68" t="s">
        <v>181</v>
      </c>
      <c r="D268" s="64" t="s">
        <v>40</v>
      </c>
      <c r="E268" s="66" t="s">
        <v>2154</v>
      </c>
      <c r="F268" s="64" t="s">
        <v>2109</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55">I268/8</f>
        <v>7.4999999999999997E-2</v>
      </c>
      <c r="K268" s="186">
        <f>SUMIFS(Table1[Horas efetivas],Table1[Tabela],Plano_V3!E268,Table1[Campo],Plano_V3!F268)</f>
        <v>0.15</v>
      </c>
      <c r="L268" s="186">
        <f t="shared" ref="L268:L279" si="56">K268/8</f>
        <v>1.8749999999999999E-2</v>
      </c>
      <c r="M268" s="180"/>
      <c r="N268" s="180">
        <f t="shared" ref="N268:N279" si="57">L268/J268</f>
        <v>0.25</v>
      </c>
      <c r="O268" s="180">
        <f t="shared" ref="O268:O279" si="58">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54"/>
        <v>modesg_param_sfics_taxon_europeiacombustivel</v>
      </c>
      <c r="B269" s="67" t="s">
        <v>26</v>
      </c>
      <c r="C269" s="68" t="s">
        <v>181</v>
      </c>
      <c r="D269" s="64" t="s">
        <v>40</v>
      </c>
      <c r="E269" s="66" t="s">
        <v>2154</v>
      </c>
      <c r="F269" s="64" t="s">
        <v>2104</v>
      </c>
      <c r="G269" s="64" t="str">
        <f>INDEX(Auxiliar!$B$16:$B$24,MATCH(Plano_V3!H269,Auxiliar!$C$16:$C$24,0),1)</f>
        <v>4. Validação EF</v>
      </c>
      <c r="H269" s="64">
        <f>VLOOKUP(A269,'Aux - pivots1'!$A:$B,2,0)</f>
        <v>5</v>
      </c>
      <c r="I269" s="186">
        <f>SUMIFS(Table1[Estimação (horas)],Table1[Tabela],Plano_V3!E269,Table1[Campo],Plano_V3!F269)</f>
        <v>0.6</v>
      </c>
      <c r="J269" s="186">
        <f t="shared" si="55"/>
        <v>7.4999999999999997E-2</v>
      </c>
      <c r="K269" s="186">
        <f>SUMIFS(Table1[Horas efetivas],Table1[Tabela],Plano_V3!E269,Table1[Campo],Plano_V3!F269)</f>
        <v>0.15</v>
      </c>
      <c r="L269" s="186">
        <f t="shared" si="56"/>
        <v>1.8749999999999999E-2</v>
      </c>
      <c r="M269" s="180"/>
      <c r="N269" s="180">
        <f t="shared" si="57"/>
        <v>0.25</v>
      </c>
      <c r="O269" s="180">
        <f t="shared" si="58"/>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54"/>
        <v>modesg_param_sfics_taxon_europeiaco2</v>
      </c>
      <c r="B270" s="67" t="s">
        <v>26</v>
      </c>
      <c r="C270" s="68" t="s">
        <v>181</v>
      </c>
      <c r="D270" s="64" t="s">
        <v>40</v>
      </c>
      <c r="E270" s="66" t="s">
        <v>2154</v>
      </c>
      <c r="F270" s="64" t="s">
        <v>2105</v>
      </c>
      <c r="G270" s="64" t="str">
        <f>INDEX(Auxiliar!$B$16:$B$24,MATCH(Plano_V3!H270,Auxiliar!$C$16:$C$24,0),1)</f>
        <v>4. Validação EF</v>
      </c>
      <c r="H270" s="64">
        <f>VLOOKUP(A270,'Aux - pivots1'!$A:$B,2,0)</f>
        <v>5</v>
      </c>
      <c r="I270" s="186">
        <f>SUMIFS(Table1[Estimação (horas)],Table1[Tabela],Plano_V3!E270,Table1[Campo],Plano_V3!F270)</f>
        <v>0.6</v>
      </c>
      <c r="J270" s="186">
        <f t="shared" si="55"/>
        <v>7.4999999999999997E-2</v>
      </c>
      <c r="K270" s="186">
        <f>SUMIFS(Table1[Horas efetivas],Table1[Tabela],Plano_V3!E270,Table1[Campo],Plano_V3!F270)</f>
        <v>0.15</v>
      </c>
      <c r="L270" s="186">
        <f t="shared" si="56"/>
        <v>1.8749999999999999E-2</v>
      </c>
      <c r="M270" s="180"/>
      <c r="N270" s="180">
        <f t="shared" si="57"/>
        <v>0.25</v>
      </c>
      <c r="O270" s="180">
        <f t="shared" si="58"/>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54"/>
        <v>modesg_param_sfics_taxon_europeiacod_lease</v>
      </c>
      <c r="B271" s="67" t="s">
        <v>26</v>
      </c>
      <c r="C271" s="68" t="s">
        <v>181</v>
      </c>
      <c r="D271" s="64" t="s">
        <v>40</v>
      </c>
      <c r="E271" s="66" t="s">
        <v>2154</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55"/>
        <v>7.4999999999999997E-2</v>
      </c>
      <c r="K271" s="186">
        <f>SUMIFS(Table1[Horas efetivas],Table1[Tabela],Plano_V3!E271,Table1[Campo],Plano_V3!F271)</f>
        <v>0.15</v>
      </c>
      <c r="L271" s="186">
        <f t="shared" si="56"/>
        <v>1.8749999999999999E-2</v>
      </c>
      <c r="M271" s="180"/>
      <c r="N271" s="180">
        <f t="shared" si="57"/>
        <v>0.25</v>
      </c>
      <c r="O271" s="180">
        <f t="shared" si="58"/>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54"/>
        <v>modesg_param_sfics_taxon_europeiadabertur</v>
      </c>
      <c r="B272" s="67" t="s">
        <v>26</v>
      </c>
      <c r="C272" s="68" t="s">
        <v>181</v>
      </c>
      <c r="D272" s="64" t="s">
        <v>40</v>
      </c>
      <c r="E272" s="66" t="s">
        <v>2154</v>
      </c>
      <c r="F272" s="64" t="s">
        <v>2108</v>
      </c>
      <c r="G272" s="64" t="str">
        <f>INDEX(Auxiliar!$B$16:$B$24,MATCH(Plano_V3!H272,Auxiliar!$C$16:$C$24,0),1)</f>
        <v>4. Validação EF</v>
      </c>
      <c r="H272" s="64">
        <f>VLOOKUP(A272,'Aux - pivots1'!$A:$B,2,0)</f>
        <v>5</v>
      </c>
      <c r="I272" s="186">
        <f>SUMIFS(Table1[Estimação (horas)],Table1[Tabela],Plano_V3!E272,Table1[Campo],Plano_V3!F272)</f>
        <v>0.6</v>
      </c>
      <c r="J272" s="186">
        <f t="shared" si="55"/>
        <v>7.4999999999999997E-2</v>
      </c>
      <c r="K272" s="186">
        <f>SUMIFS(Table1[Horas efetivas],Table1[Tabela],Plano_V3!E272,Table1[Campo],Plano_V3!F272)</f>
        <v>0.15</v>
      </c>
      <c r="L272" s="186">
        <f t="shared" si="56"/>
        <v>1.8749999999999999E-2</v>
      </c>
      <c r="M272" s="180"/>
      <c r="N272" s="180">
        <f t="shared" si="57"/>
        <v>0.25</v>
      </c>
      <c r="O272" s="180">
        <f t="shared" si="58"/>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54"/>
        <v>modesg_param_sfics_taxon_europeiaflg_csrd</v>
      </c>
      <c r="B273" s="67" t="s">
        <v>26</v>
      </c>
      <c r="C273" s="68" t="s">
        <v>181</v>
      </c>
      <c r="D273" s="64" t="s">
        <v>40</v>
      </c>
      <c r="E273" s="66" t="s">
        <v>2154</v>
      </c>
      <c r="F273" s="64" t="s">
        <v>2103</v>
      </c>
      <c r="G273" s="64" t="str">
        <f>INDEX(Auxiliar!$B$16:$B$24,MATCH(Plano_V3!H273,Auxiliar!$C$16:$C$24,0),1)</f>
        <v>4. Validação EF</v>
      </c>
      <c r="H273" s="64">
        <f>VLOOKUP(A273,'Aux - pivots1'!$A:$B,2,0)</f>
        <v>5</v>
      </c>
      <c r="I273" s="186">
        <f>SUMIFS(Table1[Estimação (horas)],Table1[Tabela],Plano_V3!E273,Table1[Campo],Plano_V3!F273)</f>
        <v>0.6</v>
      </c>
      <c r="J273" s="186">
        <f t="shared" si="55"/>
        <v>7.4999999999999997E-2</v>
      </c>
      <c r="K273" s="186">
        <f>SUMIFS(Table1[Horas efetivas],Table1[Tabela],Plano_V3!E273,Table1[Campo],Plano_V3!F273)</f>
        <v>0.15</v>
      </c>
      <c r="L273" s="186">
        <f t="shared" si="56"/>
        <v>1.8749999999999999E-2</v>
      </c>
      <c r="M273" s="180"/>
      <c r="N273" s="180">
        <f t="shared" si="57"/>
        <v>0.25</v>
      </c>
      <c r="O273" s="180">
        <f t="shared" si="58"/>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54"/>
        <v>modesg_param_sfics_taxon_europeianome_ctgr_sfics</v>
      </c>
      <c r="B274" s="67" t="s">
        <v>26</v>
      </c>
      <c r="C274" s="68" t="s">
        <v>181</v>
      </c>
      <c r="D274" s="64" t="s">
        <v>40</v>
      </c>
      <c r="E274" s="66" t="s">
        <v>2154</v>
      </c>
      <c r="F274" s="64" t="s">
        <v>2101</v>
      </c>
      <c r="G274" s="64" t="str">
        <f>INDEX(Auxiliar!$B$16:$B$24,MATCH(Plano_V3!H274,Auxiliar!$C$16:$C$24,0),1)</f>
        <v>4. Validação EF</v>
      </c>
      <c r="H274" s="64">
        <f>VLOOKUP(A274,'Aux - pivots1'!$A:$B,2,0)</f>
        <v>5</v>
      </c>
      <c r="I274" s="186">
        <f>SUMIFS(Table1[Estimação (horas)],Table1[Tabela],Plano_V3!E274,Table1[Campo],Plano_V3!F274)</f>
        <v>0.6</v>
      </c>
      <c r="J274" s="186">
        <f t="shared" si="55"/>
        <v>7.4999999999999997E-2</v>
      </c>
      <c r="K274" s="186">
        <f>SUMIFS(Table1[Horas efetivas],Table1[Tabela],Plano_V3!E274,Table1[Campo],Plano_V3!F274)</f>
        <v>0.15</v>
      </c>
      <c r="L274" s="186">
        <f t="shared" si="56"/>
        <v>1.8749999999999999E-2</v>
      </c>
      <c r="M274" s="180"/>
      <c r="N274" s="180">
        <f t="shared" si="57"/>
        <v>0.25</v>
      </c>
      <c r="O274" s="180">
        <f t="shared" si="58"/>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54"/>
        <v>modesg_param_sfics_taxon_europeiamontante_pndrc</v>
      </c>
      <c r="B275" s="67" t="s">
        <v>26</v>
      </c>
      <c r="C275" s="68" t="s">
        <v>181</v>
      </c>
      <c r="D275" s="64" t="s">
        <v>40</v>
      </c>
      <c r="E275" s="66" t="s">
        <v>2154</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55"/>
        <v>7.4999999999999997E-2</v>
      </c>
      <c r="K275" s="186">
        <f>SUMIFS(Table1[Horas efetivas],Table1[Tabela],Plano_V3!E275,Table1[Campo],Plano_V3!F275)</f>
        <v>0.15</v>
      </c>
      <c r="L275" s="186">
        <f t="shared" si="56"/>
        <v>1.8749999999999999E-2</v>
      </c>
      <c r="M275" s="180"/>
      <c r="N275" s="180">
        <f t="shared" si="57"/>
        <v>0.25</v>
      </c>
      <c r="O275" s="180">
        <f t="shared" si="58"/>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54"/>
        <v>modesg_param_sfics_taxon_europeianome_purpose_esg_alinh_tax</v>
      </c>
      <c r="B276" s="67" t="s">
        <v>26</v>
      </c>
      <c r="C276" s="68" t="s">
        <v>181</v>
      </c>
      <c r="D276" s="64" t="s">
        <v>40</v>
      </c>
      <c r="E276" s="66" t="s">
        <v>2154</v>
      </c>
      <c r="F276" s="64" t="s">
        <v>2115</v>
      </c>
      <c r="G276" s="64" t="str">
        <f>INDEX(Auxiliar!$B$16:$B$24,MATCH(Plano_V3!H276,Auxiliar!$C$16:$C$24,0),1)</f>
        <v>4. Validação EF</v>
      </c>
      <c r="H276" s="64">
        <f>VLOOKUP(A276,'Aux - pivots1'!$A:$B,2,0)</f>
        <v>5</v>
      </c>
      <c r="I276" s="186">
        <f>SUMIFS(Table1[Estimação (horas)],Table1[Tabela],Plano_V3!E276,Table1[Campo],Plano_V3!F276)</f>
        <v>0.6</v>
      </c>
      <c r="J276" s="186">
        <f t="shared" si="55"/>
        <v>7.4999999999999997E-2</v>
      </c>
      <c r="K276" s="186">
        <f>SUMIFS(Table1[Horas efetivas],Table1[Tabela],Plano_V3!E276,Table1[Campo],Plano_V3!F276)</f>
        <v>0.15</v>
      </c>
      <c r="L276" s="186">
        <f t="shared" si="56"/>
        <v>1.8749999999999999E-2</v>
      </c>
      <c r="M276" s="180"/>
      <c r="N276" s="180">
        <f t="shared" si="57"/>
        <v>0.25</v>
      </c>
      <c r="O276" s="180">
        <f t="shared" si="58"/>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54"/>
        <v>modesg_param_sfics_taxon_europeianome_purpose_esg_nalinh_tax</v>
      </c>
      <c r="B277" s="67" t="s">
        <v>26</v>
      </c>
      <c r="C277" s="68" t="s">
        <v>181</v>
      </c>
      <c r="D277" s="64" t="s">
        <v>40</v>
      </c>
      <c r="E277" s="66" t="s">
        <v>2154</v>
      </c>
      <c r="F277" s="64" t="s">
        <v>2116</v>
      </c>
      <c r="G277" s="64" t="str">
        <f>INDEX(Auxiliar!$B$16:$B$24,MATCH(Plano_V3!H277,Auxiliar!$C$16:$C$24,0),1)</f>
        <v>4. Validação EF</v>
      </c>
      <c r="H277" s="64">
        <f>VLOOKUP(A277,'Aux - pivots1'!$A:$B,2,0)</f>
        <v>5</v>
      </c>
      <c r="I277" s="186">
        <f>SUMIFS(Table1[Estimação (horas)],Table1[Tabela],Plano_V3!E277,Table1[Campo],Plano_V3!F277)</f>
        <v>0.6</v>
      </c>
      <c r="J277" s="186">
        <f t="shared" si="55"/>
        <v>7.4999999999999997E-2</v>
      </c>
      <c r="K277" s="186">
        <f>SUMIFS(Table1[Horas efetivas],Table1[Tabela],Plano_V3!E277,Table1[Campo],Plano_V3!F277)</f>
        <v>0.15</v>
      </c>
      <c r="L277" s="186">
        <f t="shared" si="56"/>
        <v>1.8749999999999999E-2</v>
      </c>
      <c r="M277" s="180"/>
      <c r="N277" s="180">
        <f t="shared" si="57"/>
        <v>0.25</v>
      </c>
      <c r="O277" s="180">
        <f t="shared" si="58"/>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54"/>
        <v>modesg_param_sfics_taxon_europeianome_general_specific_purpose</v>
      </c>
      <c r="B278" s="67" t="s">
        <v>26</v>
      </c>
      <c r="C278" s="68" t="s">
        <v>181</v>
      </c>
      <c r="D278" s="64" t="s">
        <v>40</v>
      </c>
      <c r="E278" s="66" t="s">
        <v>2154</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55"/>
        <v>7.4999999999999997E-2</v>
      </c>
      <c r="K278" s="186">
        <f>SUMIFS(Table1[Horas efetivas],Table1[Tabela],Plano_V3!E278,Table1[Campo],Plano_V3!F278)</f>
        <v>0.15</v>
      </c>
      <c r="L278" s="186">
        <f t="shared" si="56"/>
        <v>1.8749999999999999E-2</v>
      </c>
      <c r="M278" s="180"/>
      <c r="N278" s="180">
        <f t="shared" si="57"/>
        <v>0.25</v>
      </c>
      <c r="O278" s="180">
        <f t="shared" si="5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54"/>
        <v>modesg_param_sfics_taxon_europeianome_specific_eligible</v>
      </c>
      <c r="B279" s="67" t="s">
        <v>26</v>
      </c>
      <c r="C279" s="68" t="s">
        <v>181</v>
      </c>
      <c r="D279" s="64" t="s">
        <v>40</v>
      </c>
      <c r="E279" s="66" t="s">
        <v>2154</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55"/>
        <v>7.4999999999999997E-2</v>
      </c>
      <c r="K279" s="186">
        <f>SUMIFS(Table1[Horas efetivas],Table1[Tabela],Plano_V3!E279,Table1[Campo],Plano_V3!F279)</f>
        <v>0.15</v>
      </c>
      <c r="L279" s="186">
        <f t="shared" si="56"/>
        <v>1.8749999999999999E-2</v>
      </c>
      <c r="M279" s="180"/>
      <c r="N279" s="180">
        <f t="shared" si="57"/>
        <v>0.25</v>
      </c>
      <c r="O279" s="180">
        <f t="shared" si="58"/>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54"/>
        <v>modesg_param_sfics_taxon_europeianome_specific_sustainable</v>
      </c>
      <c r="B280" s="67" t="s">
        <v>26</v>
      </c>
      <c r="C280" s="68" t="s">
        <v>181</v>
      </c>
      <c r="D280" s="64" t="s">
        <v>40</v>
      </c>
      <c r="E280" s="66" t="s">
        <v>2154</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52"/>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54"/>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9"/>
        <v>1.0625</v>
      </c>
      <c r="K281" s="186">
        <f>SUMIFS(Table1[Horas efetivas],Table1[Tabela],Plano_V3!E281,Table1[Campo],Plano_V3!F281)</f>
        <v>8.5</v>
      </c>
      <c r="L281" s="186">
        <f t="shared" si="50"/>
        <v>1.0625</v>
      </c>
      <c r="M281" s="180"/>
      <c r="N281" s="180">
        <f t="shared" si="51"/>
        <v>1</v>
      </c>
      <c r="O281" s="180">
        <f t="shared" si="52"/>
        <v>1</v>
      </c>
      <c r="P281" s="89" t="s">
        <v>39</v>
      </c>
      <c r="Q281" s="90">
        <f t="shared" si="53"/>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54"/>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9"/>
        <v>1.0625</v>
      </c>
      <c r="K282" s="186">
        <f>SUMIFS(Table1[Horas efetivas],Table1[Tabela],Plano_V3!E282,Table1[Campo],Plano_V3!F282)</f>
        <v>8.5</v>
      </c>
      <c r="L282" s="186">
        <f t="shared" si="50"/>
        <v>1.0625</v>
      </c>
      <c r="M282" s="180"/>
      <c r="N282" s="180">
        <f t="shared" si="51"/>
        <v>1</v>
      </c>
      <c r="O282" s="180">
        <f t="shared" si="52"/>
        <v>1</v>
      </c>
      <c r="P282" s="89" t="s">
        <v>39</v>
      </c>
      <c r="Q282" s="90">
        <f t="shared" si="53"/>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54"/>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9"/>
        <v>1.0625</v>
      </c>
      <c r="K283" s="186">
        <f>SUMIFS(Table1[Horas efetivas],Table1[Tabela],Plano_V3!E283,Table1[Campo],Plano_V3!F283)</f>
        <v>8.5</v>
      </c>
      <c r="L283" s="186">
        <f t="shared" si="50"/>
        <v>1.0625</v>
      </c>
      <c r="M283" s="180"/>
      <c r="N283" s="180">
        <f t="shared" si="51"/>
        <v>1</v>
      </c>
      <c r="O283" s="180">
        <f t="shared" si="52"/>
        <v>1</v>
      </c>
      <c r="P283" s="89" t="s">
        <v>39</v>
      </c>
      <c r="Q283" s="90">
        <f t="shared" si="53"/>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54"/>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9"/>
        <v>1.0625</v>
      </c>
      <c r="K284" s="186">
        <f>SUMIFS(Table1[Horas efetivas],Table1[Tabela],Plano_V3!E284,Table1[Campo],Plano_V3!F284)</f>
        <v>8.5</v>
      </c>
      <c r="L284" s="186">
        <f t="shared" si="50"/>
        <v>1.0625</v>
      </c>
      <c r="M284" s="180"/>
      <c r="N284" s="180">
        <f t="shared" si="51"/>
        <v>1</v>
      </c>
      <c r="O284" s="180">
        <f t="shared" si="52"/>
        <v>1</v>
      </c>
      <c r="P284" s="89" t="s">
        <v>39</v>
      </c>
      <c r="Q284" s="90">
        <f t="shared" si="53"/>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54"/>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9"/>
        <v>1.0625</v>
      </c>
      <c r="K285" s="186">
        <f>SUMIFS(Table1[Horas efetivas],Table1[Tabela],Plano_V3!E285,Table1[Campo],Plano_V3!F285)</f>
        <v>8.5</v>
      </c>
      <c r="L285" s="186">
        <f t="shared" si="50"/>
        <v>1.0625</v>
      </c>
      <c r="M285" s="180"/>
      <c r="N285" s="180">
        <f t="shared" si="51"/>
        <v>1</v>
      </c>
      <c r="O285" s="180">
        <f t="shared" si="52"/>
        <v>1</v>
      </c>
      <c r="P285" s="89" t="s">
        <v>39</v>
      </c>
      <c r="Q285" s="90">
        <f t="shared" si="53"/>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54"/>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9"/>
        <v>1.0625</v>
      </c>
      <c r="K286" s="186">
        <f>SUMIFS(Table1[Horas efetivas],Table1[Tabela],Plano_V3!E286,Table1[Campo],Plano_V3!F286)</f>
        <v>8.5</v>
      </c>
      <c r="L286" s="186">
        <f t="shared" si="50"/>
        <v>1.0625</v>
      </c>
      <c r="M286" s="180"/>
      <c r="N286" s="180">
        <f t="shared" si="51"/>
        <v>1</v>
      </c>
      <c r="O286" s="180">
        <f t="shared" si="52"/>
        <v>1</v>
      </c>
      <c r="P286" s="89" t="s">
        <v>39</v>
      </c>
      <c r="Q286" s="90">
        <f t="shared" si="53"/>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54"/>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9"/>
        <v>1.0625</v>
      </c>
      <c r="K287" s="186">
        <f>SUMIFS(Table1[Horas efetivas],Table1[Tabela],Plano_V3!E287,Table1[Campo],Plano_V3!F287)</f>
        <v>8.5</v>
      </c>
      <c r="L287" s="186">
        <f t="shared" si="50"/>
        <v>1.0625</v>
      </c>
      <c r="M287" s="180"/>
      <c r="N287" s="180">
        <f t="shared" si="51"/>
        <v>1</v>
      </c>
      <c r="O287" s="180">
        <f t="shared" si="52"/>
        <v>1</v>
      </c>
      <c r="P287" s="89" t="s">
        <v>39</v>
      </c>
      <c r="Q287" s="90">
        <f t="shared" si="53"/>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54"/>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9"/>
        <v>1.0625</v>
      </c>
      <c r="K288" s="186">
        <f>SUMIFS(Table1[Horas efetivas],Table1[Tabela],Plano_V3!E288,Table1[Campo],Plano_V3!F288)</f>
        <v>8.5</v>
      </c>
      <c r="L288" s="186">
        <f t="shared" si="50"/>
        <v>1.0625</v>
      </c>
      <c r="M288" s="180"/>
      <c r="N288" s="180">
        <f t="shared" si="51"/>
        <v>1</v>
      </c>
      <c r="O288" s="180">
        <f t="shared" si="52"/>
        <v>1</v>
      </c>
      <c r="P288" s="89" t="s">
        <v>39</v>
      </c>
      <c r="Q288" s="90">
        <f t="shared" si="53"/>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54"/>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9"/>
        <v>6.25E-2</v>
      </c>
      <c r="K289" s="186">
        <f>SUMIFS(Table1[Horas efetivas],Table1[Tabela],Plano_V3!E289,Table1[Campo],Plano_V3!F289)</f>
        <v>0.5</v>
      </c>
      <c r="L289" s="186">
        <f t="shared" si="50"/>
        <v>6.25E-2</v>
      </c>
      <c r="M289" s="180"/>
      <c r="N289" s="180">
        <f t="shared" si="51"/>
        <v>1</v>
      </c>
      <c r="O289" s="180">
        <f t="shared" si="52"/>
        <v>1</v>
      </c>
      <c r="P289" s="89" t="s">
        <v>39</v>
      </c>
      <c r="Q289" s="90">
        <f t="shared" si="53"/>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54"/>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9"/>
        <v>7.4999999999999997E-2</v>
      </c>
      <c r="K290" s="186">
        <f>SUMIFS(Table1[Horas efetivas],Table1[Tabela],Plano_V3!E290,Table1[Campo],Plano_V3!F290)</f>
        <v>0.6</v>
      </c>
      <c r="L290" s="186">
        <f t="shared" si="50"/>
        <v>7.4999999999999997E-2</v>
      </c>
      <c r="M290" s="180"/>
      <c r="N290" s="180">
        <f t="shared" si="51"/>
        <v>1</v>
      </c>
      <c r="O290" s="180">
        <f t="shared" si="52"/>
        <v>1</v>
      </c>
      <c r="P290" s="89" t="s">
        <v>39</v>
      </c>
      <c r="Q290" s="90">
        <f t="shared" si="53"/>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54"/>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9"/>
        <v>7.4999999999999997E-2</v>
      </c>
      <c r="K291" s="186">
        <f>SUMIFS(Table1[Horas efetivas],Table1[Tabela],Plano_V3!E291,Table1[Campo],Plano_V3!F291)</f>
        <v>0.6</v>
      </c>
      <c r="L291" s="186">
        <f t="shared" si="50"/>
        <v>7.4999999999999997E-2</v>
      </c>
      <c r="M291" s="180"/>
      <c r="N291" s="180">
        <f t="shared" si="51"/>
        <v>1</v>
      </c>
      <c r="O291" s="180">
        <f t="shared" si="52"/>
        <v>1</v>
      </c>
      <c r="P291" s="89" t="s">
        <v>39</v>
      </c>
      <c r="Q291" s="90">
        <f t="shared" si="53"/>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54"/>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9"/>
        <v>6.25E-2</v>
      </c>
      <c r="K292" s="186">
        <f>SUMIFS(Table1[Horas efetivas],Table1[Tabela],Plano_V3!E292,Table1[Campo],Plano_V3!F292)</f>
        <v>0.5</v>
      </c>
      <c r="L292" s="186">
        <f t="shared" si="50"/>
        <v>6.25E-2</v>
      </c>
      <c r="M292" s="180"/>
      <c r="N292" s="180">
        <f t="shared" si="51"/>
        <v>1</v>
      </c>
      <c r="O292" s="180">
        <f t="shared" si="52"/>
        <v>1</v>
      </c>
      <c r="P292" s="89" t="s">
        <v>39</v>
      </c>
      <c r="Q292" s="90">
        <f t="shared" si="53"/>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54"/>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9"/>
        <v>7.4999999999999997E-2</v>
      </c>
      <c r="K293" s="186">
        <f>SUMIFS(Table1[Horas efetivas],Table1[Tabela],Plano_V3!E293,Table1[Campo],Plano_V3!F293)</f>
        <v>0.6</v>
      </c>
      <c r="L293" s="186">
        <f t="shared" si="50"/>
        <v>7.4999999999999997E-2</v>
      </c>
      <c r="M293" s="180"/>
      <c r="N293" s="180">
        <f t="shared" si="51"/>
        <v>1</v>
      </c>
      <c r="O293" s="180">
        <f t="shared" si="52"/>
        <v>1</v>
      </c>
      <c r="P293" s="89" t="s">
        <v>39</v>
      </c>
      <c r="Q293" s="90">
        <f t="shared" si="53"/>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54"/>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9"/>
        <v>7.4999999999999997E-2</v>
      </c>
      <c r="K294" s="186">
        <f>SUMIFS(Table1[Horas efetivas],Table1[Tabela],Plano_V3!E294,Table1[Campo],Plano_V3!F294)</f>
        <v>0.6</v>
      </c>
      <c r="L294" s="186">
        <f t="shared" si="50"/>
        <v>7.4999999999999997E-2</v>
      </c>
      <c r="M294" s="180"/>
      <c r="N294" s="180">
        <f t="shared" si="51"/>
        <v>1</v>
      </c>
      <c r="O294" s="180">
        <f t="shared" si="52"/>
        <v>1</v>
      </c>
      <c r="P294" s="89" t="s">
        <v>39</v>
      </c>
      <c r="Q294" s="90">
        <f t="shared" si="53"/>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54"/>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9"/>
        <v>7.4999999999999997E-2</v>
      </c>
      <c r="K295" s="186">
        <f>SUMIFS(Table1[Horas efetivas],Table1[Tabela],Plano_V3!E295,Table1[Campo],Plano_V3!F295)</f>
        <v>0.6</v>
      </c>
      <c r="L295" s="186">
        <f t="shared" si="50"/>
        <v>7.4999999999999997E-2</v>
      </c>
      <c r="M295" s="180"/>
      <c r="N295" s="180">
        <f t="shared" si="51"/>
        <v>1</v>
      </c>
      <c r="O295" s="180">
        <f t="shared" si="52"/>
        <v>1</v>
      </c>
      <c r="P295" s="89" t="s">
        <v>39</v>
      </c>
      <c r="Q295" s="90">
        <f t="shared" si="53"/>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54"/>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9"/>
        <v>7.4999999999999997E-2</v>
      </c>
      <c r="K296" s="186">
        <f>SUMIFS(Table1[Horas efetivas],Table1[Tabela],Plano_V3!E296,Table1[Campo],Plano_V3!F296)</f>
        <v>0.6</v>
      </c>
      <c r="L296" s="186">
        <f t="shared" si="50"/>
        <v>7.4999999999999997E-2</v>
      </c>
      <c r="M296" s="180"/>
      <c r="N296" s="180">
        <f t="shared" si="51"/>
        <v>1</v>
      </c>
      <c r="O296" s="180">
        <f t="shared" si="52"/>
        <v>1</v>
      </c>
      <c r="P296" s="89" t="s">
        <v>39</v>
      </c>
      <c r="Q296" s="90">
        <f t="shared" si="53"/>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54"/>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9"/>
        <v>7.4999999999999997E-2</v>
      </c>
      <c r="K297" s="186">
        <f>SUMIFS(Table1[Horas efetivas],Table1[Tabela],Plano_V3!E297,Table1[Campo],Plano_V3!F297)</f>
        <v>0.6</v>
      </c>
      <c r="L297" s="186">
        <f t="shared" si="50"/>
        <v>7.4999999999999997E-2</v>
      </c>
      <c r="M297" s="180"/>
      <c r="N297" s="180">
        <f t="shared" si="51"/>
        <v>1</v>
      </c>
      <c r="O297" s="180">
        <f t="shared" si="52"/>
        <v>1</v>
      </c>
      <c r="P297" s="89" t="s">
        <v>39</v>
      </c>
      <c r="Q297" s="90">
        <f t="shared" si="53"/>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54"/>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9"/>
        <v>7.4999999999999997E-2</v>
      </c>
      <c r="K298" s="186">
        <f>SUMIFS(Table1[Horas efetivas],Table1[Tabela],Plano_V3!E298,Table1[Campo],Plano_V3!F298)</f>
        <v>0.6</v>
      </c>
      <c r="L298" s="186">
        <f t="shared" si="50"/>
        <v>7.4999999999999997E-2</v>
      </c>
      <c r="M298" s="180"/>
      <c r="N298" s="180">
        <f t="shared" si="51"/>
        <v>1</v>
      </c>
      <c r="O298" s="180">
        <f t="shared" si="52"/>
        <v>1</v>
      </c>
      <c r="P298" s="89" t="s">
        <v>39</v>
      </c>
      <c r="Q298" s="90">
        <f t="shared" si="53"/>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54"/>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9"/>
        <v>7.4999999999999997E-2</v>
      </c>
      <c r="K299" s="186">
        <f>SUMIFS(Table1[Horas efetivas],Table1[Tabela],Plano_V3!E299,Table1[Campo],Plano_V3!F299)</f>
        <v>0.6</v>
      </c>
      <c r="L299" s="186">
        <f t="shared" si="50"/>
        <v>7.4999999999999997E-2</v>
      </c>
      <c r="M299" s="180"/>
      <c r="N299" s="180">
        <f t="shared" si="51"/>
        <v>1</v>
      </c>
      <c r="O299" s="180">
        <f t="shared" si="52"/>
        <v>1</v>
      </c>
      <c r="P299" s="89" t="s">
        <v>39</v>
      </c>
      <c r="Q299" s="90">
        <f t="shared" si="53"/>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54"/>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9"/>
        <v>7.4999999999999997E-2</v>
      </c>
      <c r="K300" s="186">
        <f>SUMIFS(Table1[Horas efetivas],Table1[Tabela],Plano_V3!E300,Table1[Campo],Plano_V3!F300)</f>
        <v>0.6</v>
      </c>
      <c r="L300" s="186">
        <f t="shared" si="50"/>
        <v>7.4999999999999997E-2</v>
      </c>
      <c r="M300" s="180"/>
      <c r="N300" s="180">
        <f t="shared" si="51"/>
        <v>1</v>
      </c>
      <c r="O300" s="180">
        <f t="shared" si="52"/>
        <v>1</v>
      </c>
      <c r="P300" s="89" t="s">
        <v>39</v>
      </c>
      <c r="Q300" s="90">
        <f t="shared" si="53"/>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54"/>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9"/>
        <v>7.4999999999999997E-2</v>
      </c>
      <c r="K301" s="186">
        <f>SUMIFS(Table1[Horas efetivas],Table1[Tabela],Plano_V3!E301,Table1[Campo],Plano_V3!F301)</f>
        <v>0.6</v>
      </c>
      <c r="L301" s="186">
        <f t="shared" si="50"/>
        <v>7.4999999999999997E-2</v>
      </c>
      <c r="M301" s="180"/>
      <c r="N301" s="180">
        <f t="shared" si="51"/>
        <v>1</v>
      </c>
      <c r="O301" s="180">
        <f t="shared" si="52"/>
        <v>1</v>
      </c>
      <c r="P301" s="89" t="s">
        <v>39</v>
      </c>
      <c r="Q301" s="90">
        <f t="shared" si="53"/>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54"/>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9"/>
        <v>7.4999999999999997E-2</v>
      </c>
      <c r="K302" s="186">
        <f>SUMIFS(Table1[Horas efetivas],Table1[Tabela],Plano_V3!E302,Table1[Campo],Plano_V3!F302)</f>
        <v>0.6</v>
      </c>
      <c r="L302" s="186">
        <f t="shared" si="50"/>
        <v>7.4999999999999997E-2</v>
      </c>
      <c r="M302" s="180"/>
      <c r="N302" s="180">
        <f t="shared" si="51"/>
        <v>1</v>
      </c>
      <c r="O302" s="180">
        <f t="shared" si="52"/>
        <v>1</v>
      </c>
      <c r="P302" s="89" t="s">
        <v>39</v>
      </c>
      <c r="Q302" s="90">
        <f t="shared" si="5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54"/>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9"/>
        <v>7.4999999999999997E-2</v>
      </c>
      <c r="K303" s="186">
        <f>SUMIFS(Table1[Horas efetivas],Table1[Tabela],Plano_V3!E303,Table1[Campo],Plano_V3!F303)</f>
        <v>0.6</v>
      </c>
      <c r="L303" s="186">
        <f t="shared" si="50"/>
        <v>7.4999999999999997E-2</v>
      </c>
      <c r="M303" s="180"/>
      <c r="N303" s="180">
        <f t="shared" si="51"/>
        <v>1</v>
      </c>
      <c r="O303" s="180">
        <f t="shared" si="52"/>
        <v>1</v>
      </c>
      <c r="P303" s="89" t="s">
        <v>39</v>
      </c>
      <c r="Q303" s="90">
        <f t="shared" si="5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54"/>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9"/>
        <v>7.4999999999999997E-2</v>
      </c>
      <c r="K304" s="186">
        <f>SUMIFS(Table1[Horas efetivas],Table1[Tabela],Plano_V3!E304,Table1[Campo],Plano_V3!F304)</f>
        <v>0.6</v>
      </c>
      <c r="L304" s="186">
        <f t="shared" si="50"/>
        <v>7.4999999999999997E-2</v>
      </c>
      <c r="M304" s="180"/>
      <c r="N304" s="180">
        <f t="shared" si="51"/>
        <v>1</v>
      </c>
      <c r="O304" s="180">
        <f t="shared" si="52"/>
        <v>1</v>
      </c>
      <c r="P304" s="89" t="s">
        <v>39</v>
      </c>
      <c r="Q304" s="90">
        <f t="shared" si="53"/>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54"/>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9"/>
        <v>7.4999999999999997E-2</v>
      </c>
      <c r="K305" s="186">
        <f>SUMIFS(Table1[Horas efetivas],Table1[Tabela],Plano_V3!E305,Table1[Campo],Plano_V3!F305)</f>
        <v>0.6</v>
      </c>
      <c r="L305" s="186">
        <f t="shared" si="50"/>
        <v>7.4999999999999997E-2</v>
      </c>
      <c r="M305" s="180"/>
      <c r="N305" s="180">
        <f t="shared" si="51"/>
        <v>1</v>
      </c>
      <c r="O305" s="180">
        <f t="shared" si="52"/>
        <v>1</v>
      </c>
      <c r="P305" s="89" t="s">
        <v>39</v>
      </c>
      <c r="Q305" s="90">
        <f t="shared" si="5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54"/>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9"/>
        <v>6.25E-2</v>
      </c>
      <c r="K306" s="186">
        <f>SUMIFS(Table1[Horas efetivas],Table1[Tabela],Plano_V3!E306,Table1[Campo],Plano_V3!F306)</f>
        <v>0.5</v>
      </c>
      <c r="L306" s="186">
        <f t="shared" si="50"/>
        <v>6.25E-2</v>
      </c>
      <c r="M306" s="180"/>
      <c r="N306" s="180">
        <f t="shared" si="51"/>
        <v>1</v>
      </c>
      <c r="O306" s="180">
        <f t="shared" si="52"/>
        <v>1</v>
      </c>
      <c r="P306" s="89" t="s">
        <v>39</v>
      </c>
      <c r="Q306" s="90">
        <f t="shared" si="53"/>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54"/>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9"/>
        <v>7.4999999999999997E-2</v>
      </c>
      <c r="K307" s="186">
        <f>SUMIFS(Table1[Horas efetivas],Table1[Tabela],Plano_V3!E307,Table1[Campo],Plano_V3!F307)</f>
        <v>0.6</v>
      </c>
      <c r="L307" s="186">
        <f t="shared" si="50"/>
        <v>7.4999999999999997E-2</v>
      </c>
      <c r="M307" s="180"/>
      <c r="N307" s="180">
        <f t="shared" si="51"/>
        <v>1</v>
      </c>
      <c r="O307" s="180">
        <f t="shared" si="52"/>
        <v>1</v>
      </c>
      <c r="P307" s="89" t="s">
        <v>39</v>
      </c>
      <c r="Q307" s="90">
        <f t="shared" si="5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54"/>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9"/>
        <v>7.4999999999999997E-2</v>
      </c>
      <c r="K308" s="186">
        <f>SUMIFS(Table1[Horas efetivas],Table1[Tabela],Plano_V3!E308,Table1[Campo],Plano_V3!F308)</f>
        <v>0.6</v>
      </c>
      <c r="L308" s="186">
        <f t="shared" si="50"/>
        <v>7.4999999999999997E-2</v>
      </c>
      <c r="M308" s="180"/>
      <c r="N308" s="180">
        <f t="shared" si="51"/>
        <v>1</v>
      </c>
      <c r="O308" s="180">
        <f t="shared" si="52"/>
        <v>1</v>
      </c>
      <c r="P308" s="89" t="s">
        <v>39</v>
      </c>
      <c r="Q308" s="90">
        <f t="shared" si="5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54"/>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9"/>
        <v>7.4999999999999997E-2</v>
      </c>
      <c r="K309" s="186">
        <f>SUMIFS(Table1[Horas efetivas],Table1[Tabela],Plano_V3!E309,Table1[Campo],Plano_V3!F309)</f>
        <v>0.6</v>
      </c>
      <c r="L309" s="186">
        <f t="shared" si="50"/>
        <v>7.4999999999999997E-2</v>
      </c>
      <c r="M309" s="180"/>
      <c r="N309" s="180">
        <f t="shared" si="51"/>
        <v>1</v>
      </c>
      <c r="O309" s="180">
        <f t="shared" si="52"/>
        <v>1</v>
      </c>
      <c r="P309" s="89" t="s">
        <v>39</v>
      </c>
      <c r="Q309" s="90">
        <f t="shared" si="5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54"/>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9"/>
        <v>7.4999999999999997E-2</v>
      </c>
      <c r="K310" s="186">
        <f>SUMIFS(Table1[Horas efetivas],Table1[Tabela],Plano_V3!E310,Table1[Campo],Plano_V3!F310)</f>
        <v>0.6</v>
      </c>
      <c r="L310" s="186">
        <f t="shared" si="50"/>
        <v>7.4999999999999997E-2</v>
      </c>
      <c r="M310" s="180"/>
      <c r="N310" s="180">
        <f t="shared" si="51"/>
        <v>1</v>
      </c>
      <c r="O310" s="180">
        <f t="shared" si="52"/>
        <v>1</v>
      </c>
      <c r="P310" s="89" t="s">
        <v>39</v>
      </c>
      <c r="Q310" s="90">
        <f t="shared" si="5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54"/>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9"/>
        <v>7.4999999999999997E-2</v>
      </c>
      <c r="K311" s="186">
        <f>SUMIFS(Table1[Horas efetivas],Table1[Tabela],Plano_V3!E311,Table1[Campo],Plano_V3!F311)</f>
        <v>0.6</v>
      </c>
      <c r="L311" s="186">
        <f t="shared" si="50"/>
        <v>7.4999999999999997E-2</v>
      </c>
      <c r="M311" s="180"/>
      <c r="N311" s="180">
        <f t="shared" si="51"/>
        <v>1</v>
      </c>
      <c r="O311" s="180">
        <f t="shared" si="52"/>
        <v>1</v>
      </c>
      <c r="P311" s="89" t="s">
        <v>39</v>
      </c>
      <c r="Q311" s="90">
        <f t="shared" si="5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54"/>
        <v>modesg_inp_km_medios_emss_vclsmedia_scp1_emss</v>
      </c>
      <c r="B312" s="67" t="s">
        <v>26</v>
      </c>
      <c r="C312" s="68" t="s">
        <v>181</v>
      </c>
      <c r="D312" s="64" t="s">
        <v>40</v>
      </c>
      <c r="E312" s="66" t="s">
        <v>213</v>
      </c>
      <c r="F312" s="64" t="s">
        <v>664</v>
      </c>
      <c r="G312" s="64" t="str">
        <f>INDEX(Auxiliar!$B$16:$B$24,MATCH(Plano_V3!H312,Auxiliar!$C$16:$C$24,0),1)</f>
        <v>0. Cancelado</v>
      </c>
      <c r="H312" s="64">
        <f>VLOOKUP(A312,'Aux - pivots1'!$A:$B,2,0)</f>
        <v>0</v>
      </c>
      <c r="I312" s="186">
        <f>SUMIFS(Table1[Estimação (horas)],Table1[Tabela],Plano_V3!E312,Table1[Campo],Plano_V3!F312)</f>
        <v>0.5</v>
      </c>
      <c r="J312" s="186">
        <f t="shared" ref="J312:J314" si="59">I312/8</f>
        <v>6.25E-2</v>
      </c>
      <c r="K312" s="186">
        <f>SUMIFS(Table1[Horas efetivas],Table1[Tabela],Plano_V3!E312,Table1[Campo],Plano_V3!F312)</f>
        <v>0</v>
      </c>
      <c r="L312" s="186">
        <f t="shared" ref="L312:L314" si="60">K312/8</f>
        <v>0</v>
      </c>
      <c r="M312" s="180"/>
      <c r="N312" s="180">
        <f t="shared" ref="N312:N314" si="61">L312/J312</f>
        <v>0</v>
      </c>
      <c r="O312" s="180">
        <f t="shared" ref="O312:O314" si="62">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54"/>
        <v>modesg_inp_km_medios_emss_vclsmedia_scp2_emss</v>
      </c>
      <c r="B313" s="67" t="s">
        <v>26</v>
      </c>
      <c r="C313" s="68" t="s">
        <v>181</v>
      </c>
      <c r="D313" s="64" t="s">
        <v>40</v>
      </c>
      <c r="E313" s="66" t="s">
        <v>213</v>
      </c>
      <c r="F313" s="64" t="s">
        <v>665</v>
      </c>
      <c r="G313" s="64" t="str">
        <f>INDEX(Auxiliar!$B$16:$B$24,MATCH(Plano_V3!H313,Auxiliar!$C$16:$C$24,0),1)</f>
        <v>0. Cancelado</v>
      </c>
      <c r="H313" s="64">
        <f>VLOOKUP(A313,'Aux - pivots1'!$A:$B,2,0)</f>
        <v>0</v>
      </c>
      <c r="I313" s="186">
        <f>SUMIFS(Table1[Estimação (horas)],Table1[Tabela],Plano_V3!E313,Table1[Campo],Plano_V3!F313)</f>
        <v>0.5</v>
      </c>
      <c r="J313" s="186">
        <f t="shared" si="59"/>
        <v>6.25E-2</v>
      </c>
      <c r="K313" s="186">
        <f>SUMIFS(Table1[Horas efetivas],Table1[Tabela],Plano_V3!E313,Table1[Campo],Plano_V3!F313)</f>
        <v>0</v>
      </c>
      <c r="L313" s="186">
        <f t="shared" si="60"/>
        <v>0</v>
      </c>
      <c r="M313" s="180"/>
      <c r="N313" s="180">
        <f t="shared" si="61"/>
        <v>0</v>
      </c>
      <c r="O313" s="180">
        <f t="shared" si="62"/>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54"/>
        <v>modesg_inp_km_medios_emss_vclsmedia_scp3_emss</v>
      </c>
      <c r="B314" s="67" t="s">
        <v>26</v>
      </c>
      <c r="C314" s="68" t="s">
        <v>181</v>
      </c>
      <c r="D314" s="64" t="s">
        <v>40</v>
      </c>
      <c r="E314" s="66" t="s">
        <v>213</v>
      </c>
      <c r="F314" s="64" t="s">
        <v>666</v>
      </c>
      <c r="G314" s="64" t="str">
        <f>INDEX(Auxiliar!$B$16:$B$24,MATCH(Plano_V3!H314,Auxiliar!$C$16:$C$24,0),1)</f>
        <v>0. Cancelado</v>
      </c>
      <c r="H314" s="64">
        <f>VLOOKUP(A314,'Aux - pivots1'!$A:$B,2,0)</f>
        <v>0</v>
      </c>
      <c r="I314" s="186">
        <f>SUMIFS(Table1[Estimação (horas)],Table1[Tabela],Plano_V3!E314,Table1[Campo],Plano_V3!F314)</f>
        <v>0.5</v>
      </c>
      <c r="J314" s="186">
        <f t="shared" si="59"/>
        <v>6.25E-2</v>
      </c>
      <c r="K314" s="186">
        <f>SUMIFS(Table1[Horas efetivas],Table1[Tabela],Plano_V3!E314,Table1[Campo],Plano_V3!F314)</f>
        <v>0</v>
      </c>
      <c r="L314" s="186">
        <f t="shared" si="60"/>
        <v>0</v>
      </c>
      <c r="M314" s="180"/>
      <c r="N314" s="180">
        <f t="shared" si="61"/>
        <v>0</v>
      </c>
      <c r="O314" s="180">
        <f t="shared" si="62"/>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54"/>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9"/>
        <v>6.25E-2</v>
      </c>
      <c r="K315" s="186">
        <f>SUMIFS(Table1[Horas efetivas],Table1[Tabela],Plano_V3!E315,Table1[Campo],Plano_V3!F315)</f>
        <v>0.5</v>
      </c>
      <c r="L315" s="186">
        <f t="shared" si="50"/>
        <v>6.25E-2</v>
      </c>
      <c r="M315" s="180"/>
      <c r="N315" s="180">
        <f t="shared" si="51"/>
        <v>1</v>
      </c>
      <c r="O315" s="180">
        <f t="shared" si="52"/>
        <v>1</v>
      </c>
      <c r="P315" s="89" t="s">
        <v>39</v>
      </c>
      <c r="Q315" s="90">
        <f t="shared" si="53"/>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54"/>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9"/>
        <v>7.4999999999999997E-2</v>
      </c>
      <c r="K316" s="186">
        <f>SUMIFS(Table1[Horas efetivas],Table1[Tabela],Plano_V3!E316,Table1[Campo],Plano_V3!F316)</f>
        <v>0.6</v>
      </c>
      <c r="L316" s="186">
        <f t="shared" si="50"/>
        <v>7.4999999999999997E-2</v>
      </c>
      <c r="M316" s="180"/>
      <c r="N316" s="180">
        <f t="shared" si="51"/>
        <v>1</v>
      </c>
      <c r="O316" s="180">
        <f t="shared" si="52"/>
        <v>1</v>
      </c>
      <c r="P316" s="89" t="s">
        <v>39</v>
      </c>
      <c r="Q316" s="90">
        <f t="shared" si="5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54"/>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9"/>
        <v>7.4999999999999997E-2</v>
      </c>
      <c r="K317" s="186">
        <f>SUMIFS(Table1[Horas efetivas],Table1[Tabela],Plano_V3!E317,Table1[Campo],Plano_V3!F317)</f>
        <v>0.6</v>
      </c>
      <c r="L317" s="186">
        <f t="shared" si="50"/>
        <v>7.4999999999999997E-2</v>
      </c>
      <c r="M317" s="180"/>
      <c r="N317" s="180">
        <f t="shared" si="51"/>
        <v>1</v>
      </c>
      <c r="O317" s="180">
        <f t="shared" si="52"/>
        <v>1</v>
      </c>
      <c r="P317" s="89" t="s">
        <v>39</v>
      </c>
      <c r="Q317" s="90">
        <f t="shared" si="5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54"/>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9"/>
        <v>7.4999999999999997E-2</v>
      </c>
      <c r="K318" s="186">
        <f>SUMIFS(Table1[Horas efetivas],Table1[Tabela],Plano_V3!E318,Table1[Campo],Plano_V3!F318)</f>
        <v>0.6</v>
      </c>
      <c r="L318" s="186">
        <f t="shared" si="50"/>
        <v>7.4999999999999997E-2</v>
      </c>
      <c r="M318" s="180"/>
      <c r="N318" s="180">
        <f t="shared" si="51"/>
        <v>1</v>
      </c>
      <c r="O318" s="180">
        <f t="shared" si="52"/>
        <v>1</v>
      </c>
      <c r="P318" s="89" t="s">
        <v>39</v>
      </c>
      <c r="Q318" s="90">
        <f t="shared" si="53"/>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54"/>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63">I319/8</f>
        <v>6.25E-2</v>
      </c>
      <c r="K319" s="186">
        <f>SUMIFS(Table1[Horas efetivas],Table1[Tabela],Plano_V3!E319,Table1[Campo],Plano_V3!F319)</f>
        <v>0.5</v>
      </c>
      <c r="L319" s="186">
        <f t="shared" si="50"/>
        <v>6.25E-2</v>
      </c>
      <c r="M319" s="180"/>
      <c r="N319" s="180">
        <f t="shared" si="51"/>
        <v>1</v>
      </c>
      <c r="O319" s="180">
        <f t="shared" si="52"/>
        <v>1</v>
      </c>
      <c r="P319" s="89" t="s">
        <v>39</v>
      </c>
      <c r="Q319" s="90">
        <f t="shared" si="53"/>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54"/>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63"/>
        <v>6.25E-2</v>
      </c>
      <c r="K320" s="186">
        <f>SUMIFS(Table1[Horas efetivas],Table1[Tabela],Plano_V3!E320,Table1[Campo],Plano_V3!F320)</f>
        <v>0.5</v>
      </c>
      <c r="L320" s="186">
        <f t="shared" ref="L320:L389" si="64">K320/8</f>
        <v>6.25E-2</v>
      </c>
      <c r="M320" s="180"/>
      <c r="N320" s="180">
        <f t="shared" ref="N320:N389" si="65">L320/J320</f>
        <v>1</v>
      </c>
      <c r="O320" s="180">
        <f t="shared" si="52"/>
        <v>1</v>
      </c>
      <c r="P320" s="89" t="s">
        <v>39</v>
      </c>
      <c r="Q320" s="90">
        <f t="shared" si="53"/>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54"/>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63"/>
        <v>6.25E-2</v>
      </c>
      <c r="K321" s="186">
        <f>SUMIFS(Table1[Horas efetivas],Table1[Tabela],Plano_V3!E321,Table1[Campo],Plano_V3!F321)</f>
        <v>0.5</v>
      </c>
      <c r="L321" s="186">
        <f t="shared" si="64"/>
        <v>6.25E-2</v>
      </c>
      <c r="M321" s="180"/>
      <c r="N321" s="180">
        <f t="shared" si="65"/>
        <v>1</v>
      </c>
      <c r="O321" s="180">
        <f t="shared" si="52"/>
        <v>1</v>
      </c>
      <c r="P321" s="89" t="s">
        <v>39</v>
      </c>
      <c r="Q321" s="90">
        <f t="shared" si="53"/>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54"/>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63"/>
        <v>6.25E-2</v>
      </c>
      <c r="K322" s="186">
        <f>SUMIFS(Table1[Horas efetivas],Table1[Tabela],Plano_V3!E322,Table1[Campo],Plano_V3!F322)</f>
        <v>0.5</v>
      </c>
      <c r="L322" s="186">
        <f t="shared" si="64"/>
        <v>6.25E-2</v>
      </c>
      <c r="M322" s="180"/>
      <c r="N322" s="180">
        <f t="shared" si="65"/>
        <v>1</v>
      </c>
      <c r="O322" s="180">
        <f t="shared" si="52"/>
        <v>1</v>
      </c>
      <c r="P322" s="89" t="s">
        <v>39</v>
      </c>
      <c r="Q322" s="90">
        <f t="shared" si="53"/>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54"/>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63"/>
        <v>7.4999999999999997E-2</v>
      </c>
      <c r="K323" s="186">
        <f>SUMIFS(Table1[Horas efetivas],Table1[Tabela],Plano_V3!E323,Table1[Campo],Plano_V3!F323)</f>
        <v>0.6</v>
      </c>
      <c r="L323" s="186">
        <f t="shared" si="64"/>
        <v>7.4999999999999997E-2</v>
      </c>
      <c r="M323" s="180"/>
      <c r="N323" s="180">
        <f t="shared" si="65"/>
        <v>1</v>
      </c>
      <c r="O323" s="180">
        <f t="shared" si="52"/>
        <v>1</v>
      </c>
      <c r="P323" s="89" t="s">
        <v>39</v>
      </c>
      <c r="Q323" s="90">
        <f t="shared" si="5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54"/>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63"/>
        <v>7.4999999999999997E-2</v>
      </c>
      <c r="K324" s="186">
        <f>SUMIFS(Table1[Horas efetivas],Table1[Tabela],Plano_V3!E324,Table1[Campo],Plano_V3!F324)</f>
        <v>0.6</v>
      </c>
      <c r="L324" s="186">
        <f t="shared" si="64"/>
        <v>7.4999999999999997E-2</v>
      </c>
      <c r="M324" s="180"/>
      <c r="N324" s="180">
        <f t="shared" si="65"/>
        <v>1</v>
      </c>
      <c r="O324" s="180">
        <f t="shared" si="52"/>
        <v>1</v>
      </c>
      <c r="P324" s="89" t="s">
        <v>39</v>
      </c>
      <c r="Q324" s="90">
        <f t="shared" si="53"/>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54"/>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63"/>
        <v>6.25E-2</v>
      </c>
      <c r="K325" s="186">
        <f>SUMIFS(Table1[Horas efetivas],Table1[Tabela],Plano_V3!E325,Table1[Campo],Plano_V3!F325)</f>
        <v>0.5</v>
      </c>
      <c r="L325" s="186">
        <f t="shared" si="64"/>
        <v>6.25E-2</v>
      </c>
      <c r="M325" s="180"/>
      <c r="N325" s="180">
        <f t="shared" si="65"/>
        <v>1</v>
      </c>
      <c r="O325" s="180">
        <f t="shared" si="52"/>
        <v>1</v>
      </c>
      <c r="P325" s="89" t="s">
        <v>39</v>
      </c>
      <c r="Q325" s="90">
        <f t="shared" si="53"/>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54"/>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63"/>
        <v>6.25E-2</v>
      </c>
      <c r="K326" s="186">
        <f>SUMIFS(Table1[Horas efetivas],Table1[Tabela],Plano_V3!E326,Table1[Campo],Plano_V3!F326)</f>
        <v>0.5</v>
      </c>
      <c r="L326" s="186">
        <f t="shared" si="64"/>
        <v>6.25E-2</v>
      </c>
      <c r="M326" s="180"/>
      <c r="N326" s="180">
        <f t="shared" si="65"/>
        <v>1</v>
      </c>
      <c r="O326" s="180">
        <f t="shared" si="52"/>
        <v>1</v>
      </c>
      <c r="P326" s="89" t="s">
        <v>39</v>
      </c>
      <c r="Q326" s="90">
        <f t="shared" si="53"/>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54"/>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52"/>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54"/>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63"/>
        <v>6.25E-2</v>
      </c>
      <c r="K328" s="186">
        <f>SUMIFS(Table1[Horas efetivas],Table1[Tabela],Plano_V3!E328,Table1[Campo],Plano_V3!F328)</f>
        <v>0.5</v>
      </c>
      <c r="L328" s="186">
        <f t="shared" si="64"/>
        <v>6.25E-2</v>
      </c>
      <c r="M328" s="180"/>
      <c r="N328" s="180">
        <f t="shared" si="65"/>
        <v>1</v>
      </c>
      <c r="O328" s="180">
        <f t="shared" si="52"/>
        <v>1</v>
      </c>
      <c r="P328" s="89" t="s">
        <v>39</v>
      </c>
      <c r="Q328" s="90">
        <f t="shared" si="53"/>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54"/>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63"/>
        <v>7.4999999999999997E-2</v>
      </c>
      <c r="K329" s="186">
        <f>SUMIFS(Table1[Horas efetivas],Table1[Tabela],Plano_V3!E329,Table1[Campo],Plano_V3!F329)</f>
        <v>0.6</v>
      </c>
      <c r="L329" s="186">
        <f t="shared" si="64"/>
        <v>7.4999999999999997E-2</v>
      </c>
      <c r="M329" s="180"/>
      <c r="N329" s="180">
        <f t="shared" si="65"/>
        <v>1</v>
      </c>
      <c r="O329" s="180">
        <f t="shared" ref="O329:O397" si="66">N329-M329</f>
        <v>1</v>
      </c>
      <c r="P329" s="89" t="s">
        <v>39</v>
      </c>
      <c r="Q329" s="90">
        <f t="shared" si="5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54"/>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63"/>
        <v>7.4999999999999997E-2</v>
      </c>
      <c r="K330" s="186">
        <f>SUMIFS(Table1[Horas efetivas],Table1[Tabela],Plano_V3!E330,Table1[Campo],Plano_V3!F330)</f>
        <v>0.6</v>
      </c>
      <c r="L330" s="186">
        <f t="shared" si="64"/>
        <v>7.4999999999999997E-2</v>
      </c>
      <c r="M330" s="180"/>
      <c r="N330" s="180">
        <f t="shared" si="65"/>
        <v>1</v>
      </c>
      <c r="O330" s="180">
        <f t="shared" si="66"/>
        <v>1</v>
      </c>
      <c r="P330" s="89" t="s">
        <v>39</v>
      </c>
      <c r="Q330" s="90">
        <f t="shared" si="5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67">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63"/>
        <v>7.4999999999999997E-2</v>
      </c>
      <c r="K331" s="186">
        <f>SUMIFS(Table1[Horas efetivas],Table1[Tabela],Plano_V3!E331,Table1[Campo],Plano_V3!F331)</f>
        <v>0.6</v>
      </c>
      <c r="L331" s="186">
        <f t="shared" si="64"/>
        <v>7.4999999999999997E-2</v>
      </c>
      <c r="M331" s="180"/>
      <c r="N331" s="180">
        <f t="shared" si="65"/>
        <v>1</v>
      </c>
      <c r="O331" s="180">
        <f t="shared" si="66"/>
        <v>1</v>
      </c>
      <c r="P331" s="89" t="s">
        <v>39</v>
      </c>
      <c r="Q331" s="90">
        <f t="shared" si="53"/>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67"/>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63"/>
        <v>7.4999999999999997E-2</v>
      </c>
      <c r="K332" s="186">
        <f>SUMIFS(Table1[Horas efetivas],Table1[Tabela],Plano_V3!E332,Table1[Campo],Plano_V3!F332)</f>
        <v>0.6</v>
      </c>
      <c r="L332" s="186">
        <f t="shared" si="64"/>
        <v>7.4999999999999997E-2</v>
      </c>
      <c r="M332" s="180"/>
      <c r="N332" s="180">
        <f t="shared" si="65"/>
        <v>1</v>
      </c>
      <c r="O332" s="180">
        <f t="shared" si="66"/>
        <v>1</v>
      </c>
      <c r="P332" s="89" t="s">
        <v>39</v>
      </c>
      <c r="Q332" s="90">
        <f t="shared" si="53"/>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67"/>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63"/>
        <v>7.4999999999999997E-2</v>
      </c>
      <c r="K333" s="186">
        <f>SUMIFS(Table1[Horas efetivas],Table1[Tabela],Plano_V3!E333,Table1[Campo],Plano_V3!F333)</f>
        <v>0.6</v>
      </c>
      <c r="L333" s="186">
        <f t="shared" si="64"/>
        <v>7.4999999999999997E-2</v>
      </c>
      <c r="M333" s="180"/>
      <c r="N333" s="180">
        <f t="shared" si="65"/>
        <v>1</v>
      </c>
      <c r="O333" s="180">
        <f t="shared" si="66"/>
        <v>1</v>
      </c>
      <c r="P333" s="89" t="s">
        <v>39</v>
      </c>
      <c r="Q333" s="90">
        <f t="shared" si="53"/>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67"/>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63"/>
        <v>7.4999999999999997E-2</v>
      </c>
      <c r="K334" s="186">
        <f>SUMIFS(Table1[Horas efetivas],Table1[Tabela],Plano_V3!E334,Table1[Campo],Plano_V3!F334)</f>
        <v>0.6</v>
      </c>
      <c r="L334" s="186">
        <f t="shared" si="64"/>
        <v>7.4999999999999997E-2</v>
      </c>
      <c r="M334" s="180"/>
      <c r="N334" s="180">
        <f t="shared" si="65"/>
        <v>1</v>
      </c>
      <c r="O334" s="180">
        <f t="shared" si="66"/>
        <v>1</v>
      </c>
      <c r="P334" s="89" t="s">
        <v>39</v>
      </c>
      <c r="Q334" s="90">
        <f t="shared" si="53"/>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67"/>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63"/>
        <v>7.4999999999999997E-2</v>
      </c>
      <c r="K335" s="186">
        <f>SUMIFS(Table1[Horas efetivas],Table1[Tabela],Plano_V3!E335,Table1[Campo],Plano_V3!F335)</f>
        <v>0.6</v>
      </c>
      <c r="L335" s="186">
        <f t="shared" si="64"/>
        <v>7.4999999999999997E-2</v>
      </c>
      <c r="M335" s="180"/>
      <c r="N335" s="180">
        <f t="shared" si="65"/>
        <v>1</v>
      </c>
      <c r="O335" s="180">
        <f t="shared" si="66"/>
        <v>1</v>
      </c>
      <c r="P335" s="89" t="s">
        <v>39</v>
      </c>
      <c r="Q335" s="90">
        <f t="shared" si="5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67"/>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63"/>
        <v>7.4999999999999997E-2</v>
      </c>
      <c r="K336" s="186">
        <f>SUMIFS(Table1[Horas efetivas],Table1[Tabela],Plano_V3!E336,Table1[Campo],Plano_V3!F336)</f>
        <v>0.6</v>
      </c>
      <c r="L336" s="186">
        <f t="shared" si="64"/>
        <v>7.4999999999999997E-2</v>
      </c>
      <c r="M336" s="180"/>
      <c r="N336" s="180">
        <f t="shared" si="65"/>
        <v>1</v>
      </c>
      <c r="O336" s="180">
        <f t="shared" si="66"/>
        <v>1</v>
      </c>
      <c r="P336" s="89" t="s">
        <v>39</v>
      </c>
      <c r="Q336" s="90">
        <f t="shared" si="5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67"/>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63"/>
        <v>7.4999999999999997E-2</v>
      </c>
      <c r="K337" s="186">
        <f>SUMIFS(Table1[Horas efetivas],Table1[Tabela],Plano_V3!E337,Table1[Campo],Plano_V3!F337)</f>
        <v>0.6</v>
      </c>
      <c r="L337" s="186">
        <f t="shared" si="64"/>
        <v>7.4999999999999997E-2</v>
      </c>
      <c r="M337" s="180"/>
      <c r="N337" s="180">
        <f t="shared" si="65"/>
        <v>1</v>
      </c>
      <c r="O337" s="180">
        <f t="shared" si="66"/>
        <v>1</v>
      </c>
      <c r="P337" s="89" t="s">
        <v>39</v>
      </c>
      <c r="Q337" s="90">
        <f t="shared" si="53"/>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67"/>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63"/>
        <v>7.4999999999999997E-2</v>
      </c>
      <c r="K338" s="186">
        <f>SUMIFS(Table1[Horas efetivas],Table1[Tabela],Plano_V3!E338,Table1[Campo],Plano_V3!F338)</f>
        <v>0.6</v>
      </c>
      <c r="L338" s="186">
        <f t="shared" si="64"/>
        <v>7.4999999999999997E-2</v>
      </c>
      <c r="M338" s="180"/>
      <c r="N338" s="180">
        <f t="shared" si="65"/>
        <v>1</v>
      </c>
      <c r="O338" s="180">
        <f t="shared" si="66"/>
        <v>1</v>
      </c>
      <c r="P338" s="89" t="s">
        <v>39</v>
      </c>
      <c r="Q338" s="90">
        <f t="shared" si="53"/>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67"/>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63"/>
        <v>7.4999999999999997E-2</v>
      </c>
      <c r="K339" s="186">
        <f>SUMIFS(Table1[Horas efetivas],Table1[Tabela],Plano_V3!E339,Table1[Campo],Plano_V3!F339)</f>
        <v>0.6</v>
      </c>
      <c r="L339" s="186">
        <f t="shared" si="64"/>
        <v>7.4999999999999997E-2</v>
      </c>
      <c r="M339" s="180"/>
      <c r="N339" s="180">
        <f t="shared" si="65"/>
        <v>1</v>
      </c>
      <c r="O339" s="180">
        <f t="shared" si="66"/>
        <v>1</v>
      </c>
      <c r="P339" s="89" t="s">
        <v>39</v>
      </c>
      <c r="Q339" s="90">
        <f t="shared" si="53"/>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67"/>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63"/>
        <v>7.4999999999999997E-2</v>
      </c>
      <c r="K340" s="186">
        <f>SUMIFS(Table1[Horas efetivas],Table1[Tabela],Plano_V3!E340,Table1[Campo],Plano_V3!F340)</f>
        <v>0.6</v>
      </c>
      <c r="L340" s="186">
        <f t="shared" si="64"/>
        <v>7.4999999999999997E-2</v>
      </c>
      <c r="M340" s="180"/>
      <c r="N340" s="180">
        <f t="shared" si="65"/>
        <v>1</v>
      </c>
      <c r="O340" s="180">
        <f t="shared" si="66"/>
        <v>1</v>
      </c>
      <c r="P340" s="89" t="s">
        <v>39</v>
      </c>
      <c r="Q340" s="90">
        <f t="shared" ref="Q340:Q415" si="68">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67"/>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63"/>
        <v>7.4999999999999997E-2</v>
      </c>
      <c r="K341" s="186">
        <f>SUMIFS(Table1[Horas efetivas],Table1[Tabela],Plano_V3!E341,Table1[Campo],Plano_V3!F341)</f>
        <v>0.6</v>
      </c>
      <c r="L341" s="186">
        <f t="shared" si="64"/>
        <v>7.4999999999999997E-2</v>
      </c>
      <c r="M341" s="180"/>
      <c r="N341" s="180">
        <f t="shared" si="65"/>
        <v>1</v>
      </c>
      <c r="O341" s="180">
        <f t="shared" si="66"/>
        <v>1</v>
      </c>
      <c r="P341" s="89" t="s">
        <v>39</v>
      </c>
      <c r="Q341" s="90">
        <f t="shared" si="68"/>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67"/>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63"/>
        <v>7.4999999999999997E-2</v>
      </c>
      <c r="K342" s="186">
        <f>SUMIFS(Table1[Horas efetivas],Table1[Tabela],Plano_V3!E342,Table1[Campo],Plano_V3!F342)</f>
        <v>0.6</v>
      </c>
      <c r="L342" s="186">
        <f t="shared" si="64"/>
        <v>7.4999999999999997E-2</v>
      </c>
      <c r="M342" s="180"/>
      <c r="N342" s="180">
        <f t="shared" si="65"/>
        <v>1</v>
      </c>
      <c r="O342" s="180">
        <f t="shared" si="66"/>
        <v>1</v>
      </c>
      <c r="P342" s="89" t="s">
        <v>39</v>
      </c>
      <c r="Q342" s="90">
        <f t="shared" si="68"/>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67"/>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63"/>
        <v>7.4999999999999997E-2</v>
      </c>
      <c r="K343" s="186">
        <f>SUMIFS(Table1[Horas efetivas],Table1[Tabela],Plano_V3!E343,Table1[Campo],Plano_V3!F343)</f>
        <v>0.6</v>
      </c>
      <c r="L343" s="186">
        <f t="shared" si="64"/>
        <v>7.4999999999999997E-2</v>
      </c>
      <c r="M343" s="180"/>
      <c r="N343" s="180">
        <f t="shared" si="65"/>
        <v>1</v>
      </c>
      <c r="O343" s="180">
        <f t="shared" si="66"/>
        <v>1</v>
      </c>
      <c r="P343" s="89" t="s">
        <v>39</v>
      </c>
      <c r="Q343" s="90">
        <f t="shared" si="68"/>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67"/>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63"/>
        <v>7.4999999999999997E-2</v>
      </c>
      <c r="K344" s="186">
        <f>SUMIFS(Table1[Horas efetivas],Table1[Tabela],Plano_V3!E344,Table1[Campo],Plano_V3!F344)</f>
        <v>0.6</v>
      </c>
      <c r="L344" s="186">
        <f t="shared" si="64"/>
        <v>7.4999999999999997E-2</v>
      </c>
      <c r="M344" s="180"/>
      <c r="N344" s="180">
        <f t="shared" si="65"/>
        <v>1</v>
      </c>
      <c r="O344" s="180">
        <f t="shared" si="66"/>
        <v>1</v>
      </c>
      <c r="P344" s="89" t="s">
        <v>39</v>
      </c>
      <c r="Q344" s="90">
        <f t="shared" si="68"/>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67"/>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63"/>
        <v>7.4999999999999997E-2</v>
      </c>
      <c r="K345" s="186">
        <f>SUMIFS(Table1[Horas efetivas],Table1[Tabela],Plano_V3!E345,Table1[Campo],Plano_V3!F345)</f>
        <v>0.6</v>
      </c>
      <c r="L345" s="186">
        <f t="shared" si="64"/>
        <v>7.4999999999999997E-2</v>
      </c>
      <c r="M345" s="180"/>
      <c r="N345" s="180">
        <f t="shared" si="65"/>
        <v>1</v>
      </c>
      <c r="O345" s="180">
        <f t="shared" si="66"/>
        <v>1</v>
      </c>
      <c r="P345" s="89" t="s">
        <v>39</v>
      </c>
      <c r="Q345" s="90">
        <f t="shared" si="68"/>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67"/>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63"/>
        <v>7.4999999999999997E-2</v>
      </c>
      <c r="K346" s="186">
        <f>SUMIFS(Table1[Horas efetivas],Table1[Tabela],Plano_V3!E346,Table1[Campo],Plano_V3!F346)</f>
        <v>0.6</v>
      </c>
      <c r="L346" s="186">
        <f t="shared" si="64"/>
        <v>7.4999999999999997E-2</v>
      </c>
      <c r="M346" s="180"/>
      <c r="N346" s="180">
        <f t="shared" si="65"/>
        <v>1</v>
      </c>
      <c r="O346" s="180">
        <f t="shared" si="66"/>
        <v>1</v>
      </c>
      <c r="P346" s="89" t="s">
        <v>39</v>
      </c>
      <c r="Q346" s="90">
        <f t="shared" si="68"/>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67"/>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63"/>
        <v>7.4999999999999997E-2</v>
      </c>
      <c r="K347" s="186">
        <f>SUMIFS(Table1[Horas efetivas],Table1[Tabela],Plano_V3!E347,Table1[Campo],Plano_V3!F347)</f>
        <v>0.6</v>
      </c>
      <c r="L347" s="186">
        <f t="shared" si="64"/>
        <v>7.4999999999999997E-2</v>
      </c>
      <c r="M347" s="180"/>
      <c r="N347" s="180">
        <f t="shared" si="65"/>
        <v>1</v>
      </c>
      <c r="O347" s="180">
        <f t="shared" si="66"/>
        <v>1</v>
      </c>
      <c r="P347" s="89" t="s">
        <v>39</v>
      </c>
      <c r="Q347" s="90">
        <f t="shared" si="68"/>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67"/>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63"/>
        <v>7.4999999999999997E-2</v>
      </c>
      <c r="K348" s="186">
        <f>SUMIFS(Table1[Horas efetivas],Table1[Tabela],Plano_V3!E348,Table1[Campo],Plano_V3!F348)</f>
        <v>0.6</v>
      </c>
      <c r="L348" s="186">
        <f t="shared" si="64"/>
        <v>7.4999999999999997E-2</v>
      </c>
      <c r="M348" s="180"/>
      <c r="N348" s="180">
        <f t="shared" si="65"/>
        <v>1</v>
      </c>
      <c r="O348" s="180">
        <f t="shared" si="66"/>
        <v>1</v>
      </c>
      <c r="P348" s="89" t="s">
        <v>39</v>
      </c>
      <c r="Q348" s="90">
        <f t="shared" si="68"/>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67"/>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63"/>
        <v>7.4999999999999997E-2</v>
      </c>
      <c r="K349" s="186">
        <f>SUMIFS(Table1[Horas efetivas],Table1[Tabela],Plano_V3!E349,Table1[Campo],Plano_V3!F349)</f>
        <v>0.6</v>
      </c>
      <c r="L349" s="186">
        <f t="shared" si="64"/>
        <v>7.4999999999999997E-2</v>
      </c>
      <c r="M349" s="180"/>
      <c r="N349" s="180">
        <f t="shared" si="65"/>
        <v>1</v>
      </c>
      <c r="O349" s="180">
        <f t="shared" si="66"/>
        <v>1</v>
      </c>
      <c r="P349" s="89" t="s">
        <v>39</v>
      </c>
      <c r="Q349" s="90">
        <f t="shared" si="68"/>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67"/>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63"/>
        <v>7.4999999999999997E-2</v>
      </c>
      <c r="K350" s="186">
        <f>SUMIFS(Table1[Horas efetivas],Table1[Tabela],Plano_V3!E350,Table1[Campo],Plano_V3!F350)</f>
        <v>0.6</v>
      </c>
      <c r="L350" s="186">
        <f t="shared" si="64"/>
        <v>7.4999999999999997E-2</v>
      </c>
      <c r="M350" s="180"/>
      <c r="N350" s="180">
        <f t="shared" si="65"/>
        <v>1</v>
      </c>
      <c r="O350" s="180">
        <f t="shared" si="66"/>
        <v>1</v>
      </c>
      <c r="P350" s="89" t="s">
        <v>39</v>
      </c>
      <c r="Q350" s="90">
        <f t="shared" si="68"/>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67"/>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63"/>
        <v>7.4999999999999997E-2</v>
      </c>
      <c r="K351" s="186">
        <f>SUMIFS(Table1[Horas efetivas],Table1[Tabela],Plano_V3!E351,Table1[Campo],Plano_V3!F351)</f>
        <v>0.6</v>
      </c>
      <c r="L351" s="186">
        <f t="shared" si="64"/>
        <v>7.4999999999999997E-2</v>
      </c>
      <c r="M351" s="180"/>
      <c r="N351" s="180">
        <f t="shared" si="65"/>
        <v>1</v>
      </c>
      <c r="O351" s="180">
        <f t="shared" si="66"/>
        <v>1</v>
      </c>
      <c r="P351" s="89" t="s">
        <v>39</v>
      </c>
      <c r="Q351" s="90">
        <f t="shared" si="68"/>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67"/>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63"/>
        <v>7.4999999999999997E-2</v>
      </c>
      <c r="K352" s="186">
        <f>SUMIFS(Table1[Horas efetivas],Table1[Tabela],Plano_V3!E352,Table1[Campo],Plano_V3!F352)</f>
        <v>0.6</v>
      </c>
      <c r="L352" s="186">
        <f t="shared" si="64"/>
        <v>7.4999999999999997E-2</v>
      </c>
      <c r="M352" s="180"/>
      <c r="N352" s="180">
        <f t="shared" si="65"/>
        <v>1</v>
      </c>
      <c r="O352" s="180">
        <f t="shared" si="66"/>
        <v>1</v>
      </c>
      <c r="P352" s="89" t="s">
        <v>39</v>
      </c>
      <c r="Q352" s="90">
        <f t="shared" si="68"/>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67"/>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63"/>
        <v>7.4999999999999997E-2</v>
      </c>
      <c r="K353" s="186">
        <f>SUMIFS(Table1[Horas efetivas],Table1[Tabela],Plano_V3!E353,Table1[Campo],Plano_V3!F353)</f>
        <v>0.6</v>
      </c>
      <c r="L353" s="186">
        <f t="shared" si="64"/>
        <v>7.4999999999999997E-2</v>
      </c>
      <c r="M353" s="180"/>
      <c r="N353" s="180">
        <f t="shared" si="65"/>
        <v>1</v>
      </c>
      <c r="O353" s="180">
        <f t="shared" si="66"/>
        <v>1</v>
      </c>
      <c r="P353" s="89" t="s">
        <v>39</v>
      </c>
      <c r="Q353" s="90">
        <f t="shared" si="68"/>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67"/>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63"/>
        <v>7.4999999999999997E-2</v>
      </c>
      <c r="K354" s="186">
        <f>SUMIFS(Table1[Horas efetivas],Table1[Tabela],Plano_V3!E354,Table1[Campo],Plano_V3!F354)</f>
        <v>0.6</v>
      </c>
      <c r="L354" s="186">
        <f t="shared" si="64"/>
        <v>7.4999999999999997E-2</v>
      </c>
      <c r="M354" s="180"/>
      <c r="N354" s="180">
        <f t="shared" si="65"/>
        <v>1</v>
      </c>
      <c r="O354" s="180">
        <f t="shared" si="66"/>
        <v>1</v>
      </c>
      <c r="P354" s="89" t="s">
        <v>39</v>
      </c>
      <c r="Q354" s="90">
        <f t="shared" si="68"/>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67"/>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63"/>
        <v>7.4999999999999997E-2</v>
      </c>
      <c r="K355" s="186">
        <f>SUMIFS(Table1[Horas efetivas],Table1[Tabela],Plano_V3!E355,Table1[Campo],Plano_V3!F355)</f>
        <v>0.6</v>
      </c>
      <c r="L355" s="186">
        <f t="shared" si="64"/>
        <v>7.4999999999999997E-2</v>
      </c>
      <c r="M355" s="180"/>
      <c r="N355" s="180">
        <f t="shared" si="65"/>
        <v>1</v>
      </c>
      <c r="O355" s="180">
        <f t="shared" si="66"/>
        <v>1</v>
      </c>
      <c r="P355" s="89" t="s">
        <v>39</v>
      </c>
      <c r="Q355" s="90">
        <f t="shared" si="68"/>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67"/>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63"/>
        <v>7.4999999999999997E-2</v>
      </c>
      <c r="K356" s="186">
        <f>SUMIFS(Table1[Horas efetivas],Table1[Tabela],Plano_V3!E356,Table1[Campo],Plano_V3!F356)</f>
        <v>0.6</v>
      </c>
      <c r="L356" s="186">
        <f t="shared" si="64"/>
        <v>7.4999999999999997E-2</v>
      </c>
      <c r="M356" s="180"/>
      <c r="N356" s="180">
        <f t="shared" si="65"/>
        <v>1</v>
      </c>
      <c r="O356" s="180">
        <f t="shared" si="66"/>
        <v>1</v>
      </c>
      <c r="P356" s="89" t="s">
        <v>39</v>
      </c>
      <c r="Q356" s="90">
        <f t="shared" si="68"/>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67"/>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63"/>
        <v>7.4999999999999997E-2</v>
      </c>
      <c r="K357" s="186">
        <f>SUMIFS(Table1[Horas efetivas],Table1[Tabela],Plano_V3!E357,Table1[Campo],Plano_V3!F357)</f>
        <v>0.6</v>
      </c>
      <c r="L357" s="186">
        <f t="shared" si="64"/>
        <v>7.4999999999999997E-2</v>
      </c>
      <c r="M357" s="180"/>
      <c r="N357" s="180">
        <f t="shared" si="65"/>
        <v>1</v>
      </c>
      <c r="O357" s="180">
        <f t="shared" si="66"/>
        <v>1</v>
      </c>
      <c r="P357" s="89" t="s">
        <v>39</v>
      </c>
      <c r="Q357" s="90">
        <f t="shared" si="68"/>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67"/>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63"/>
        <v>7.4999999999999997E-2</v>
      </c>
      <c r="K358" s="186">
        <f>SUMIFS(Table1[Horas efetivas],Table1[Tabela],Plano_V3!E358,Table1[Campo],Plano_V3!F358)</f>
        <v>0.6</v>
      </c>
      <c r="L358" s="186">
        <f t="shared" si="64"/>
        <v>7.4999999999999997E-2</v>
      </c>
      <c r="M358" s="180"/>
      <c r="N358" s="180">
        <f t="shared" si="65"/>
        <v>1</v>
      </c>
      <c r="O358" s="180">
        <f t="shared" si="66"/>
        <v>1</v>
      </c>
      <c r="P358" s="89" t="s">
        <v>39</v>
      </c>
      <c r="Q358" s="90">
        <f t="shared" si="68"/>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67"/>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63"/>
        <v>7.4999999999999997E-2</v>
      </c>
      <c r="K359" s="186">
        <f>SUMIFS(Table1[Horas efetivas],Table1[Tabela],Plano_V3!E359,Table1[Campo],Plano_V3!F359)</f>
        <v>0.6</v>
      </c>
      <c r="L359" s="186">
        <f t="shared" si="64"/>
        <v>7.4999999999999997E-2</v>
      </c>
      <c r="M359" s="180"/>
      <c r="N359" s="180">
        <f t="shared" si="65"/>
        <v>1</v>
      </c>
      <c r="O359" s="180">
        <f t="shared" si="66"/>
        <v>1</v>
      </c>
      <c r="P359" s="89" t="s">
        <v>39</v>
      </c>
      <c r="Q359" s="90">
        <f t="shared" si="68"/>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67"/>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63"/>
        <v>7.4999999999999997E-2</v>
      </c>
      <c r="K360" s="186">
        <f>SUMIFS(Table1[Horas efetivas],Table1[Tabela],Plano_V3!E360,Table1[Campo],Plano_V3!F360)</f>
        <v>0.6</v>
      </c>
      <c r="L360" s="186">
        <f t="shared" si="64"/>
        <v>7.4999999999999997E-2</v>
      </c>
      <c r="M360" s="180"/>
      <c r="N360" s="180">
        <f t="shared" si="65"/>
        <v>1</v>
      </c>
      <c r="O360" s="180">
        <f t="shared" si="66"/>
        <v>1</v>
      </c>
      <c r="P360" s="89" t="s">
        <v>39</v>
      </c>
      <c r="Q360" s="90">
        <f t="shared" si="68"/>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67"/>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63"/>
        <v>7.4999999999999997E-2</v>
      </c>
      <c r="K361" s="186">
        <f>SUMIFS(Table1[Horas efetivas],Table1[Tabela],Plano_V3!E361,Table1[Campo],Plano_V3!F361)</f>
        <v>0.6</v>
      </c>
      <c r="L361" s="186">
        <f t="shared" si="64"/>
        <v>7.4999999999999997E-2</v>
      </c>
      <c r="M361" s="180"/>
      <c r="N361" s="180">
        <f t="shared" si="65"/>
        <v>1</v>
      </c>
      <c r="O361" s="180">
        <f t="shared" si="66"/>
        <v>1</v>
      </c>
      <c r="P361" s="89" t="s">
        <v>39</v>
      </c>
      <c r="Q361" s="90">
        <f t="shared" si="68"/>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67"/>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63"/>
        <v>7.4999999999999997E-2</v>
      </c>
      <c r="K362" s="186">
        <f>SUMIFS(Table1[Horas efetivas],Table1[Tabela],Plano_V3!E362,Table1[Campo],Plano_V3!F362)</f>
        <v>0.6</v>
      </c>
      <c r="L362" s="186">
        <f t="shared" si="64"/>
        <v>7.4999999999999997E-2</v>
      </c>
      <c r="M362" s="180"/>
      <c r="N362" s="180">
        <f t="shared" si="65"/>
        <v>1</v>
      </c>
      <c r="O362" s="180">
        <f t="shared" si="66"/>
        <v>1</v>
      </c>
      <c r="P362" s="89" t="s">
        <v>39</v>
      </c>
      <c r="Q362" s="90">
        <f t="shared" si="68"/>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67"/>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63"/>
        <v>6.25E-2</v>
      </c>
      <c r="K363" s="186">
        <f>SUMIFS(Table1[Horas efetivas],Table1[Tabela],Plano_V3!E363,Table1[Campo],Plano_V3!F363)</f>
        <v>0.5</v>
      </c>
      <c r="L363" s="186">
        <f t="shared" si="64"/>
        <v>6.25E-2</v>
      </c>
      <c r="M363" s="180"/>
      <c r="N363" s="180">
        <f t="shared" si="65"/>
        <v>1</v>
      </c>
      <c r="O363" s="180">
        <f t="shared" si="66"/>
        <v>1</v>
      </c>
      <c r="P363" s="89" t="s">
        <v>39</v>
      </c>
      <c r="Q363" s="90">
        <f t="shared" si="68"/>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67"/>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63"/>
        <v>7.4999999999999997E-2</v>
      </c>
      <c r="K364" s="186">
        <f>SUMIFS(Table1[Horas efetivas],Table1[Tabela],Plano_V3!E364,Table1[Campo],Plano_V3!F364)</f>
        <v>0.6</v>
      </c>
      <c r="L364" s="186">
        <f t="shared" si="64"/>
        <v>7.4999999999999997E-2</v>
      </c>
      <c r="M364" s="180"/>
      <c r="N364" s="180">
        <f t="shared" si="65"/>
        <v>1</v>
      </c>
      <c r="O364" s="180">
        <f t="shared" si="66"/>
        <v>1</v>
      </c>
      <c r="P364" s="89" t="s">
        <v>39</v>
      </c>
      <c r="Q364" s="90">
        <f t="shared" si="68"/>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67"/>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63"/>
        <v>6.25E-2</v>
      </c>
      <c r="K365" s="186">
        <f>SUMIFS(Table1[Horas efetivas],Table1[Tabela],Plano_V3!E365,Table1[Campo],Plano_V3!F365)</f>
        <v>0.5</v>
      </c>
      <c r="L365" s="186">
        <f t="shared" si="64"/>
        <v>6.25E-2</v>
      </c>
      <c r="M365" s="180"/>
      <c r="N365" s="180">
        <f t="shared" si="65"/>
        <v>1</v>
      </c>
      <c r="O365" s="180">
        <f t="shared" si="66"/>
        <v>1</v>
      </c>
      <c r="P365" s="89" t="s">
        <v>39</v>
      </c>
      <c r="Q365" s="90">
        <f t="shared" si="68"/>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67"/>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63"/>
        <v>7.4999999999999997E-2</v>
      </c>
      <c r="K366" s="186">
        <f>SUMIFS(Table1[Horas efetivas],Table1[Tabela],Plano_V3!E366,Table1[Campo],Plano_V3!F366)</f>
        <v>0.6</v>
      </c>
      <c r="L366" s="186">
        <f t="shared" si="64"/>
        <v>7.4999999999999997E-2</v>
      </c>
      <c r="M366" s="180"/>
      <c r="N366" s="180">
        <f t="shared" si="65"/>
        <v>1</v>
      </c>
      <c r="O366" s="180">
        <f t="shared" si="66"/>
        <v>1</v>
      </c>
      <c r="P366" s="89" t="s">
        <v>39</v>
      </c>
      <c r="Q366" s="90">
        <f t="shared" si="68"/>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67"/>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63"/>
        <v>7.4999999999999997E-2</v>
      </c>
      <c r="K367" s="186">
        <f>SUMIFS(Table1[Horas efetivas],Table1[Tabela],Plano_V3!E367,Table1[Campo],Plano_V3!F367)</f>
        <v>0.6</v>
      </c>
      <c r="L367" s="186">
        <f t="shared" si="64"/>
        <v>7.4999999999999997E-2</v>
      </c>
      <c r="M367" s="180"/>
      <c r="N367" s="180">
        <f t="shared" si="65"/>
        <v>1</v>
      </c>
      <c r="O367" s="180">
        <f t="shared" si="66"/>
        <v>1</v>
      </c>
      <c r="P367" s="89" t="s">
        <v>39</v>
      </c>
      <c r="Q367" s="90">
        <f t="shared" si="68"/>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67"/>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63"/>
        <v>7.4999999999999997E-2</v>
      </c>
      <c r="K368" s="186">
        <f>SUMIFS(Table1[Horas efetivas],Table1[Tabela],Plano_V3!E368,Table1[Campo],Plano_V3!F368)</f>
        <v>0.6</v>
      </c>
      <c r="L368" s="186">
        <f t="shared" si="64"/>
        <v>7.4999999999999997E-2</v>
      </c>
      <c r="M368" s="180"/>
      <c r="N368" s="180">
        <f t="shared" si="65"/>
        <v>1</v>
      </c>
      <c r="O368" s="180">
        <f t="shared" si="66"/>
        <v>1</v>
      </c>
      <c r="P368" s="89" t="s">
        <v>39</v>
      </c>
      <c r="Q368" s="90">
        <f t="shared" si="68"/>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ref="A369:A373" si="69">E369&amp;F369</f>
        <v>modesg_inp_risco_fisico_zipcodecod_pais</v>
      </c>
      <c r="B369" s="67" t="s">
        <v>26</v>
      </c>
      <c r="C369" s="68" t="s">
        <v>181</v>
      </c>
      <c r="D369" s="64" t="s">
        <v>40</v>
      </c>
      <c r="E369" s="66" t="s">
        <v>2218</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 t="shared" ref="J369:J373" si="70">I369/8</f>
        <v>#N/A</v>
      </c>
      <c r="K369" s="186" t="e">
        <f>SUMIFS(Table1[Horas efetivas],Table1[Tabela],Plano_V3!E369,Table1[Campo],Plano_V3!F369)</f>
        <v>#N/A</v>
      </c>
      <c r="L369" s="186" t="e">
        <f t="shared" ref="L369:L373" si="71">K369/8</f>
        <v>#N/A</v>
      </c>
      <c r="M369" s="180"/>
      <c r="N369" s="180" t="e">
        <f t="shared" ref="N369:N373" si="72">L369/J369</f>
        <v>#N/A</v>
      </c>
      <c r="O369" s="180" t="e">
        <f t="shared" ref="O369:O373" si="73">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69"/>
        <v>modesg_inp_risco_fisico_zipcodelocalizacao</v>
      </c>
      <c r="B370" s="67" t="s">
        <v>26</v>
      </c>
      <c r="C370" s="68" t="s">
        <v>181</v>
      </c>
      <c r="D370" s="64" t="s">
        <v>40</v>
      </c>
      <c r="E370" s="66" t="s">
        <v>2218</v>
      </c>
      <c r="F370" s="64" t="s">
        <v>2219</v>
      </c>
      <c r="G370" s="64" t="str">
        <f>INDEX(Auxiliar!$B$16:$B$24,MATCH(Plano_V3!H370,Auxiliar!$C$16:$C$24,0),1)</f>
        <v>7. Por iniciar</v>
      </c>
      <c r="H370" s="64">
        <f>VLOOKUP(A370,'Aux - pivots1'!$A:$B,2,0)</f>
        <v>8</v>
      </c>
      <c r="I370" s="186" t="e">
        <f>SUMIFS(Table1[Estimação (horas)],Table1[Tabela],Plano_V3!E370,Table1[Campo],Plano_V3!F370)</f>
        <v>#N/A</v>
      </c>
      <c r="J370" s="186" t="e">
        <f t="shared" si="70"/>
        <v>#N/A</v>
      </c>
      <c r="K370" s="186" t="e">
        <f>SUMIFS(Table1[Horas efetivas],Table1[Tabela],Plano_V3!E370,Table1[Campo],Plano_V3!F370)</f>
        <v>#N/A</v>
      </c>
      <c r="L370" s="186" t="e">
        <f t="shared" si="71"/>
        <v>#N/A</v>
      </c>
      <c r="M370" s="180"/>
      <c r="N370" s="180" t="e">
        <f t="shared" si="72"/>
        <v>#N/A</v>
      </c>
      <c r="O370" s="180" t="e">
        <f t="shared" si="73"/>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69"/>
        <v>modesg_inp_risco_fisico_zipcodecod_nace_esg</v>
      </c>
      <c r="B371" s="67" t="s">
        <v>26</v>
      </c>
      <c r="C371" s="68" t="s">
        <v>181</v>
      </c>
      <c r="D371" s="64" t="s">
        <v>40</v>
      </c>
      <c r="E371" s="66" t="s">
        <v>2218</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 t="shared" si="70"/>
        <v>#N/A</v>
      </c>
      <c r="K371" s="186" t="e">
        <f>SUMIFS(Table1[Horas efetivas],Table1[Tabela],Plano_V3!E371,Table1[Campo],Plano_V3!F371)</f>
        <v>#N/A</v>
      </c>
      <c r="L371" s="186" t="e">
        <f t="shared" si="71"/>
        <v>#N/A</v>
      </c>
      <c r="M371" s="180"/>
      <c r="N371" s="180" t="e">
        <f t="shared" si="72"/>
        <v>#N/A</v>
      </c>
      <c r="O371" s="180" t="e">
        <f t="shared" si="73"/>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69"/>
        <v>modesg_inp_risco_fisico_zipcodeflg_rsc_fsc_agd</v>
      </c>
      <c r="B372" s="67" t="s">
        <v>26</v>
      </c>
      <c r="C372" s="68" t="s">
        <v>181</v>
      </c>
      <c r="D372" s="64" t="s">
        <v>40</v>
      </c>
      <c r="E372" s="66" t="s">
        <v>2218</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 t="shared" si="70"/>
        <v>#N/A</v>
      </c>
      <c r="K372" s="186" t="e">
        <f>SUMIFS(Table1[Horas efetivas],Table1[Tabela],Plano_V3!E372,Table1[Campo],Plano_V3!F372)</f>
        <v>#N/A</v>
      </c>
      <c r="L372" s="186" t="e">
        <f t="shared" si="71"/>
        <v>#N/A</v>
      </c>
      <c r="M372" s="180"/>
      <c r="N372" s="180" t="e">
        <f t="shared" si="72"/>
        <v>#N/A</v>
      </c>
      <c r="O372" s="180" t="e">
        <f t="shared" si="73"/>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69"/>
        <v>modesg_inp_risco_fisico_zipcodeflg_rsc_fsc_crnc</v>
      </c>
      <c r="B373" s="67" t="s">
        <v>26</v>
      </c>
      <c r="C373" s="68" t="s">
        <v>181</v>
      </c>
      <c r="D373" s="64" t="s">
        <v>40</v>
      </c>
      <c r="E373" s="66" t="s">
        <v>2218</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 t="shared" si="70"/>
        <v>#N/A</v>
      </c>
      <c r="K373" s="186" t="e">
        <f>SUMIFS(Table1[Horas efetivas],Table1[Tabela],Plano_V3!E373,Table1[Campo],Plano_V3!F373)</f>
        <v>#N/A</v>
      </c>
      <c r="L373" s="186" t="e">
        <f t="shared" si="71"/>
        <v>#N/A</v>
      </c>
      <c r="M373" s="180"/>
      <c r="N373" s="180" t="e">
        <f t="shared" si="72"/>
        <v>#N/A</v>
      </c>
      <c r="O373" s="180" t="e">
        <f t="shared" si="73"/>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67"/>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63"/>
        <v>6.25E-2</v>
      </c>
      <c r="K374" s="186">
        <f>SUMIFS(Table1[Horas efetivas],Table1[Tabela],Plano_V3!E374,Table1[Campo],Plano_V3!F374)</f>
        <v>0.5</v>
      </c>
      <c r="L374" s="186">
        <f t="shared" si="64"/>
        <v>6.25E-2</v>
      </c>
      <c r="M374" s="180"/>
      <c r="N374" s="180">
        <f t="shared" si="65"/>
        <v>1</v>
      </c>
      <c r="O374" s="180">
        <f t="shared" si="66"/>
        <v>1</v>
      </c>
      <c r="P374" s="89" t="s">
        <v>39</v>
      </c>
      <c r="Q374" s="90">
        <f t="shared" si="68"/>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67"/>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63"/>
        <v>7.4999999999999997E-2</v>
      </c>
      <c r="K375" s="186">
        <f>SUMIFS(Table1[Horas efetivas],Table1[Tabela],Plano_V3!E375,Table1[Campo],Plano_V3!F375)</f>
        <v>0.6</v>
      </c>
      <c r="L375" s="186">
        <f t="shared" si="64"/>
        <v>7.4999999999999997E-2</v>
      </c>
      <c r="M375" s="180"/>
      <c r="N375" s="180">
        <f t="shared" si="65"/>
        <v>1</v>
      </c>
      <c r="O375" s="180">
        <f t="shared" si="66"/>
        <v>1</v>
      </c>
      <c r="P375" s="89" t="s">
        <v>39</v>
      </c>
      <c r="Q375" s="90">
        <f t="shared" si="68"/>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67"/>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63"/>
        <v>6.25E-2</v>
      </c>
      <c r="K376" s="186">
        <f>SUMIFS(Table1[Horas efetivas],Table1[Tabela],Plano_V3!E376,Table1[Campo],Plano_V3!F376)</f>
        <v>0.5</v>
      </c>
      <c r="L376" s="186">
        <f t="shared" si="64"/>
        <v>6.25E-2</v>
      </c>
      <c r="M376" s="180"/>
      <c r="N376" s="180">
        <f t="shared" si="65"/>
        <v>1</v>
      </c>
      <c r="O376" s="180">
        <f t="shared" si="66"/>
        <v>1</v>
      </c>
      <c r="P376" s="89" t="s">
        <v>39</v>
      </c>
      <c r="Q376" s="90">
        <f t="shared" si="68"/>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67"/>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63"/>
        <v>7.4999999999999997E-2</v>
      </c>
      <c r="K377" s="186">
        <f>SUMIFS(Table1[Horas efetivas],Table1[Tabela],Plano_V3!E377,Table1[Campo],Plano_V3!F377)</f>
        <v>0.6</v>
      </c>
      <c r="L377" s="186">
        <f t="shared" si="64"/>
        <v>7.4999999999999997E-2</v>
      </c>
      <c r="M377" s="180"/>
      <c r="N377" s="180">
        <f t="shared" si="65"/>
        <v>1</v>
      </c>
      <c r="O377" s="180">
        <f t="shared" si="66"/>
        <v>1</v>
      </c>
      <c r="P377" s="89" t="s">
        <v>39</v>
      </c>
      <c r="Q377" s="90">
        <f t="shared" si="68"/>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67"/>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63"/>
        <v>7.4999999999999997E-2</v>
      </c>
      <c r="K378" s="186">
        <f>SUMIFS(Table1[Horas efetivas],Table1[Tabela],Plano_V3!E378,Table1[Campo],Plano_V3!F378)</f>
        <v>0.6</v>
      </c>
      <c r="L378" s="186">
        <f t="shared" si="64"/>
        <v>7.4999999999999997E-2</v>
      </c>
      <c r="M378" s="180"/>
      <c r="N378" s="180">
        <f t="shared" si="65"/>
        <v>1</v>
      </c>
      <c r="O378" s="180">
        <f t="shared" si="66"/>
        <v>1</v>
      </c>
      <c r="P378" s="89" t="s">
        <v>39</v>
      </c>
      <c r="Q378" s="90">
        <f t="shared" si="68"/>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67"/>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63"/>
        <v>7.4999999999999997E-2</v>
      </c>
      <c r="K379" s="186">
        <f>SUMIFS(Table1[Horas efetivas],Table1[Tabela],Plano_V3!E379,Table1[Campo],Plano_V3!F379)</f>
        <v>0.6</v>
      </c>
      <c r="L379" s="186">
        <f t="shared" si="64"/>
        <v>7.4999999999999997E-2</v>
      </c>
      <c r="M379" s="180"/>
      <c r="N379" s="180">
        <f t="shared" si="65"/>
        <v>1</v>
      </c>
      <c r="O379" s="180">
        <f t="shared" si="66"/>
        <v>1</v>
      </c>
      <c r="P379" s="89" t="s">
        <v>39</v>
      </c>
      <c r="Q379" s="90">
        <f t="shared" si="68"/>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67"/>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63"/>
        <v>7.4999999999999997E-2</v>
      </c>
      <c r="K380" s="186">
        <f>SUMIFS(Table1[Horas efetivas],Table1[Tabela],Plano_V3!E380,Table1[Campo],Plano_V3!F380)</f>
        <v>0.6</v>
      </c>
      <c r="L380" s="186">
        <f t="shared" si="64"/>
        <v>7.4999999999999997E-2</v>
      </c>
      <c r="M380" s="180"/>
      <c r="N380" s="180">
        <f t="shared" si="65"/>
        <v>1</v>
      </c>
      <c r="O380" s="180">
        <f t="shared" si="66"/>
        <v>1</v>
      </c>
      <c r="P380" s="89" t="s">
        <v>39</v>
      </c>
      <c r="Q380" s="90">
        <f t="shared" si="68"/>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67"/>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63"/>
        <v>7.4999999999999997E-2</v>
      </c>
      <c r="K381" s="186">
        <f>SUMIFS(Table1[Horas efetivas],Table1[Tabela],Plano_V3!E381,Table1[Campo],Plano_V3!F381)</f>
        <v>0.6</v>
      </c>
      <c r="L381" s="186">
        <f t="shared" si="64"/>
        <v>7.4999999999999997E-2</v>
      </c>
      <c r="M381" s="180"/>
      <c r="N381" s="180">
        <f t="shared" si="65"/>
        <v>1</v>
      </c>
      <c r="O381" s="180">
        <f t="shared" si="66"/>
        <v>1</v>
      </c>
      <c r="P381" s="89" t="s">
        <v>39</v>
      </c>
      <c r="Q381" s="90">
        <f t="shared" si="68"/>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67"/>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63"/>
        <v>6.25E-2</v>
      </c>
      <c r="K382" s="186">
        <f>SUMIFS(Table1[Horas efetivas],Table1[Tabela],Plano_V3!E382,Table1[Campo],Plano_V3!F382)</f>
        <v>0.5</v>
      </c>
      <c r="L382" s="186">
        <f t="shared" si="64"/>
        <v>6.25E-2</v>
      </c>
      <c r="M382" s="180"/>
      <c r="N382" s="180">
        <f t="shared" si="65"/>
        <v>1</v>
      </c>
      <c r="O382" s="180">
        <f t="shared" si="66"/>
        <v>1</v>
      </c>
      <c r="P382" s="89" t="s">
        <v>39</v>
      </c>
      <c r="Q382" s="90">
        <f t="shared" si="68"/>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67"/>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63"/>
        <v>6.25E-2</v>
      </c>
      <c r="K383" s="186">
        <f>SUMIFS(Table1[Horas efetivas],Table1[Tabela],Plano_V3!E383,Table1[Campo],Plano_V3!F383)</f>
        <v>0.5</v>
      </c>
      <c r="L383" s="186">
        <f t="shared" si="64"/>
        <v>6.25E-2</v>
      </c>
      <c r="M383" s="180"/>
      <c r="N383" s="180">
        <f t="shared" si="65"/>
        <v>1</v>
      </c>
      <c r="O383" s="180">
        <f t="shared" si="66"/>
        <v>1</v>
      </c>
      <c r="P383" s="89" t="s">
        <v>39</v>
      </c>
      <c r="Q383" s="90">
        <f t="shared" si="68"/>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67"/>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63"/>
        <v>6.25E-2</v>
      </c>
      <c r="K384" s="186">
        <f>SUMIFS(Table1[Horas efetivas],Table1[Tabela],Plano_V3!E384,Table1[Campo],Plano_V3!F384)</f>
        <v>0.5</v>
      </c>
      <c r="L384" s="186">
        <f t="shared" si="64"/>
        <v>6.25E-2</v>
      </c>
      <c r="M384" s="180"/>
      <c r="N384" s="180">
        <f t="shared" si="65"/>
        <v>1</v>
      </c>
      <c r="O384" s="180">
        <f t="shared" si="66"/>
        <v>1</v>
      </c>
      <c r="P384" s="89" t="s">
        <v>39</v>
      </c>
      <c r="Q384" s="90">
        <f t="shared" si="68"/>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67"/>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63"/>
        <v>6.25E-2</v>
      </c>
      <c r="K385" s="186">
        <f>SUMIFS(Table1[Horas efetivas],Table1[Tabela],Plano_V3!E385,Table1[Campo],Plano_V3!F385)</f>
        <v>0.5</v>
      </c>
      <c r="L385" s="186">
        <f t="shared" si="64"/>
        <v>6.25E-2</v>
      </c>
      <c r="M385" s="180"/>
      <c r="N385" s="180">
        <f t="shared" si="65"/>
        <v>1</v>
      </c>
      <c r="O385" s="180">
        <f t="shared" si="66"/>
        <v>1</v>
      </c>
      <c r="P385" s="89" t="s">
        <v>39</v>
      </c>
      <c r="Q385" s="90">
        <f t="shared" si="68"/>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67"/>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63"/>
        <v>6.25E-2</v>
      </c>
      <c r="K386" s="186">
        <f>SUMIFS(Table1[Horas efetivas],Table1[Tabela],Plano_V3!E386,Table1[Campo],Plano_V3!F386)</f>
        <v>0.5</v>
      </c>
      <c r="L386" s="186">
        <f t="shared" si="64"/>
        <v>6.25E-2</v>
      </c>
      <c r="M386" s="180"/>
      <c r="N386" s="180">
        <f t="shared" si="65"/>
        <v>1</v>
      </c>
      <c r="O386" s="180">
        <f t="shared" si="66"/>
        <v>1</v>
      </c>
      <c r="P386" s="89" t="s">
        <v>39</v>
      </c>
      <c r="Q386" s="90">
        <f t="shared" si="68"/>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67"/>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63"/>
        <v>6.25E-2</v>
      </c>
      <c r="K387" s="186">
        <f>SUMIFS(Table1[Horas efetivas],Table1[Tabela],Plano_V3!E387,Table1[Campo],Plano_V3!F387)</f>
        <v>0.5</v>
      </c>
      <c r="L387" s="186">
        <f t="shared" si="64"/>
        <v>6.25E-2</v>
      </c>
      <c r="M387" s="180"/>
      <c r="N387" s="180">
        <f t="shared" si="65"/>
        <v>1</v>
      </c>
      <c r="O387" s="180">
        <f t="shared" si="66"/>
        <v>1</v>
      </c>
      <c r="P387" s="89" t="s">
        <v>39</v>
      </c>
      <c r="Q387" s="90">
        <f t="shared" si="68"/>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67"/>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63"/>
        <v>6.25E-2</v>
      </c>
      <c r="K388" s="186">
        <f>SUMIFS(Table1[Horas efetivas],Table1[Tabela],Plano_V3!E388,Table1[Campo],Plano_V3!F388)</f>
        <v>0.5</v>
      </c>
      <c r="L388" s="186">
        <f t="shared" si="64"/>
        <v>6.25E-2</v>
      </c>
      <c r="M388" s="180"/>
      <c r="N388" s="180">
        <f t="shared" si="65"/>
        <v>1</v>
      </c>
      <c r="O388" s="180">
        <f t="shared" si="66"/>
        <v>1</v>
      </c>
      <c r="P388" s="89" t="s">
        <v>39</v>
      </c>
      <c r="Q388" s="90">
        <f t="shared" si="68"/>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67"/>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74">I389/8</f>
        <v>6.25E-2</v>
      </c>
      <c r="K389" s="186">
        <f>SUMIFS(Table1[Horas efetivas],Table1[Tabela],Plano_V3!E389,Table1[Campo],Plano_V3!F389)</f>
        <v>0.5</v>
      </c>
      <c r="L389" s="186">
        <f t="shared" si="64"/>
        <v>6.25E-2</v>
      </c>
      <c r="M389" s="180"/>
      <c r="N389" s="180">
        <f t="shared" si="65"/>
        <v>1</v>
      </c>
      <c r="O389" s="180">
        <f t="shared" si="66"/>
        <v>1</v>
      </c>
      <c r="P389" s="89" t="s">
        <v>39</v>
      </c>
      <c r="Q389" s="90">
        <f t="shared" si="68"/>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67"/>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74"/>
        <v>6.25E-2</v>
      </c>
      <c r="K390" s="186">
        <f>SUMIFS(Table1[Horas efetivas],Table1[Tabela],Plano_V3!E390,Table1[Campo],Plano_V3!F390)</f>
        <v>0.5</v>
      </c>
      <c r="L390" s="186">
        <f t="shared" ref="L390:L429" si="75">K390/8</f>
        <v>6.25E-2</v>
      </c>
      <c r="M390" s="180"/>
      <c r="N390" s="180">
        <f t="shared" ref="N390:N429" si="76">L390/J390</f>
        <v>1</v>
      </c>
      <c r="O390" s="180">
        <f t="shared" si="66"/>
        <v>1</v>
      </c>
      <c r="P390" s="89" t="s">
        <v>39</v>
      </c>
      <c r="Q390" s="90">
        <f t="shared" si="68"/>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67"/>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74"/>
        <v>6.25E-2</v>
      </c>
      <c r="K391" s="186">
        <f>SUMIFS(Table1[Horas efetivas],Table1[Tabela],Plano_V3!E391,Table1[Campo],Plano_V3!F391)</f>
        <v>0.5</v>
      </c>
      <c r="L391" s="186">
        <f t="shared" si="75"/>
        <v>6.25E-2</v>
      </c>
      <c r="M391" s="180"/>
      <c r="N391" s="180">
        <f t="shared" si="76"/>
        <v>1</v>
      </c>
      <c r="O391" s="180">
        <f t="shared" si="66"/>
        <v>1</v>
      </c>
      <c r="P391" s="89" t="s">
        <v>39</v>
      </c>
      <c r="Q391" s="90">
        <f t="shared" si="68"/>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67"/>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74"/>
        <v>6.25E-2</v>
      </c>
      <c r="K392" s="186">
        <f>SUMIFS(Table1[Horas efetivas],Table1[Tabela],Plano_V3!E392,Table1[Campo],Plano_V3!F392)</f>
        <v>0.5</v>
      </c>
      <c r="L392" s="186">
        <f t="shared" si="75"/>
        <v>6.25E-2</v>
      </c>
      <c r="M392" s="180"/>
      <c r="N392" s="180">
        <f t="shared" si="76"/>
        <v>1</v>
      </c>
      <c r="O392" s="180">
        <f t="shared" si="66"/>
        <v>1</v>
      </c>
      <c r="P392" s="89" t="s">
        <v>39</v>
      </c>
      <c r="Q392" s="90">
        <f t="shared" si="68"/>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67"/>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74"/>
        <v>6.25E-2</v>
      </c>
      <c r="K393" s="186">
        <f>SUMIFS(Table1[Horas efetivas],Table1[Tabela],Plano_V3!E393,Table1[Campo],Plano_V3!F393)</f>
        <v>0.5</v>
      </c>
      <c r="L393" s="186">
        <f t="shared" si="75"/>
        <v>6.25E-2</v>
      </c>
      <c r="M393" s="180"/>
      <c r="N393" s="180">
        <f t="shared" si="76"/>
        <v>1</v>
      </c>
      <c r="O393" s="180">
        <f t="shared" si="66"/>
        <v>1</v>
      </c>
      <c r="P393" s="89" t="s">
        <v>39</v>
      </c>
      <c r="Q393" s="90">
        <f t="shared" si="68"/>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67"/>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74"/>
        <v>7.4999999999999997E-2</v>
      </c>
      <c r="K394" s="186">
        <f>SUMIFS(Table1[Horas efetivas],Table1[Tabela],Plano_V3!E394,Table1[Campo],Plano_V3!F394)</f>
        <v>0.6</v>
      </c>
      <c r="L394" s="186">
        <f t="shared" si="75"/>
        <v>7.4999999999999997E-2</v>
      </c>
      <c r="M394" s="180"/>
      <c r="N394" s="180">
        <f t="shared" si="76"/>
        <v>1</v>
      </c>
      <c r="O394" s="180">
        <f t="shared" si="66"/>
        <v>1</v>
      </c>
      <c r="P394" s="89" t="s">
        <v>39</v>
      </c>
      <c r="Q394" s="90">
        <f t="shared" si="68"/>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67"/>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74"/>
        <v>6.25E-2</v>
      </c>
      <c r="K395" s="186">
        <f>SUMIFS(Table1[Horas efetivas],Table1[Tabela],Plano_V3!E395,Table1[Campo],Plano_V3!F395)</f>
        <v>0.5</v>
      </c>
      <c r="L395" s="186">
        <f t="shared" si="75"/>
        <v>6.25E-2</v>
      </c>
      <c r="M395" s="180"/>
      <c r="N395" s="180">
        <f t="shared" si="76"/>
        <v>1</v>
      </c>
      <c r="O395" s="180">
        <f t="shared" si="66"/>
        <v>1</v>
      </c>
      <c r="P395" s="89" t="s">
        <v>39</v>
      </c>
      <c r="Q395" s="90">
        <f t="shared" si="68"/>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67"/>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74"/>
        <v>6.25E-2</v>
      </c>
      <c r="K396" s="186">
        <f>SUMIFS(Table1[Horas efetivas],Table1[Tabela],Plano_V3!E396,Table1[Campo],Plano_V3!F396)</f>
        <v>0.5</v>
      </c>
      <c r="L396" s="186">
        <f t="shared" si="75"/>
        <v>6.25E-2</v>
      </c>
      <c r="M396" s="180"/>
      <c r="N396" s="180">
        <f t="shared" si="76"/>
        <v>1</v>
      </c>
      <c r="O396" s="180">
        <f t="shared" si="66"/>
        <v>1</v>
      </c>
      <c r="P396" s="89" t="s">
        <v>39</v>
      </c>
      <c r="Q396" s="90">
        <f t="shared" si="68"/>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67"/>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74"/>
        <v>6.25E-2</v>
      </c>
      <c r="K397" s="186">
        <f>SUMIFS(Table1[Horas efetivas],Table1[Tabela],Plano_V3!E397,Table1[Campo],Plano_V3!F397)</f>
        <v>0.5</v>
      </c>
      <c r="L397" s="186">
        <f t="shared" si="75"/>
        <v>6.25E-2</v>
      </c>
      <c r="M397" s="180"/>
      <c r="N397" s="180">
        <f t="shared" si="76"/>
        <v>1</v>
      </c>
      <c r="O397" s="180">
        <f t="shared" si="66"/>
        <v>1</v>
      </c>
      <c r="P397" s="89" t="s">
        <v>39</v>
      </c>
      <c r="Q397" s="90">
        <f t="shared" si="68"/>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67"/>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74"/>
        <v>6.25E-2</v>
      </c>
      <c r="K398" s="186">
        <f>SUMIFS(Table1[Horas efetivas],Table1[Tabela],Plano_V3!E398,Table1[Campo],Plano_V3!F398)</f>
        <v>0.5</v>
      </c>
      <c r="L398" s="186">
        <f t="shared" si="75"/>
        <v>6.25E-2</v>
      </c>
      <c r="M398" s="180"/>
      <c r="N398" s="180">
        <f t="shared" si="76"/>
        <v>1</v>
      </c>
      <c r="O398" s="180">
        <f t="shared" ref="O398:O497" si="77">N398-M398</f>
        <v>1</v>
      </c>
      <c r="P398" s="89" t="s">
        <v>39</v>
      </c>
      <c r="Q398" s="90">
        <f t="shared" si="68"/>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67"/>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74"/>
        <v>7.4999999999999997E-2</v>
      </c>
      <c r="K399" s="186">
        <f>SUMIFS(Table1[Horas efetivas],Table1[Tabela],Plano_V3!E399,Table1[Campo],Plano_V3!F399)</f>
        <v>0.6</v>
      </c>
      <c r="L399" s="186">
        <f t="shared" si="75"/>
        <v>7.4999999999999997E-2</v>
      </c>
      <c r="M399" s="180"/>
      <c r="N399" s="180">
        <f t="shared" si="76"/>
        <v>1</v>
      </c>
      <c r="O399" s="180">
        <f t="shared" si="77"/>
        <v>1</v>
      </c>
      <c r="P399" s="89" t="s">
        <v>39</v>
      </c>
      <c r="Q399" s="90">
        <f t="shared" si="68"/>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78">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74"/>
        <v>6.25E-2</v>
      </c>
      <c r="K400" s="186">
        <f>SUMIFS(Table1[Horas efetivas],Table1[Tabela],Plano_V3!E400,Table1[Campo],Plano_V3!F400)</f>
        <v>0.5</v>
      </c>
      <c r="L400" s="186">
        <f t="shared" si="75"/>
        <v>6.25E-2</v>
      </c>
      <c r="M400" s="180"/>
      <c r="N400" s="180">
        <f t="shared" si="76"/>
        <v>1</v>
      </c>
      <c r="O400" s="180">
        <f t="shared" si="77"/>
        <v>1</v>
      </c>
      <c r="P400" s="89" t="s">
        <v>39</v>
      </c>
      <c r="Q400" s="90">
        <f t="shared" si="68"/>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78"/>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74"/>
        <v>6.25E-2</v>
      </c>
      <c r="K401" s="186">
        <f>SUMIFS(Table1[Horas efetivas],Table1[Tabela],Plano_V3!E401,Table1[Campo],Plano_V3!F401)</f>
        <v>0.5</v>
      </c>
      <c r="L401" s="186">
        <f t="shared" si="75"/>
        <v>6.25E-2</v>
      </c>
      <c r="M401" s="180"/>
      <c r="N401" s="180">
        <f t="shared" si="76"/>
        <v>1</v>
      </c>
      <c r="O401" s="180">
        <f t="shared" si="77"/>
        <v>1</v>
      </c>
      <c r="P401" s="89" t="s">
        <v>39</v>
      </c>
      <c r="Q401" s="90">
        <f t="shared" si="68"/>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78"/>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74"/>
        <v>7.4999999999999997E-2</v>
      </c>
      <c r="K402" s="186">
        <f>SUMIFS(Table1[Horas efetivas],Table1[Tabela],Plano_V3!E402,Table1[Campo],Plano_V3!F402)</f>
        <v>0.6</v>
      </c>
      <c r="L402" s="186">
        <f t="shared" si="75"/>
        <v>7.4999999999999997E-2</v>
      </c>
      <c r="M402" s="180"/>
      <c r="N402" s="180">
        <f t="shared" si="76"/>
        <v>1</v>
      </c>
      <c r="O402" s="180">
        <f t="shared" si="77"/>
        <v>1</v>
      </c>
      <c r="P402" s="89" t="s">
        <v>39</v>
      </c>
      <c r="Q402" s="90">
        <f t="shared" si="68"/>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78"/>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74"/>
        <v>7.4999999999999997E-2</v>
      </c>
      <c r="K403" s="186">
        <f>SUMIFS(Table1[Horas efetivas],Table1[Tabela],Plano_V3!E403,Table1[Campo],Plano_V3!F403)</f>
        <v>0.6</v>
      </c>
      <c r="L403" s="186">
        <f t="shared" si="75"/>
        <v>7.4999999999999997E-2</v>
      </c>
      <c r="M403" s="180"/>
      <c r="N403" s="180">
        <f t="shared" si="76"/>
        <v>1</v>
      </c>
      <c r="O403" s="180">
        <f t="shared" si="77"/>
        <v>1</v>
      </c>
      <c r="P403" s="89" t="s">
        <v>39</v>
      </c>
      <c r="Q403" s="90">
        <f t="shared" si="68"/>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78"/>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74"/>
        <v>7.4999999999999997E-2</v>
      </c>
      <c r="K404" s="186">
        <f>SUMIFS(Table1[Horas efetivas],Table1[Tabela],Plano_V3!E404,Table1[Campo],Plano_V3!F404)</f>
        <v>0.6</v>
      </c>
      <c r="L404" s="186">
        <f t="shared" si="75"/>
        <v>7.4999999999999997E-2</v>
      </c>
      <c r="M404" s="180"/>
      <c r="N404" s="180">
        <f t="shared" si="76"/>
        <v>1</v>
      </c>
      <c r="O404" s="180">
        <f t="shared" si="77"/>
        <v>1</v>
      </c>
      <c r="P404" s="89" t="s">
        <v>39</v>
      </c>
      <c r="Q404" s="90">
        <f t="shared" si="68"/>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79">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80">I405/8</f>
        <v>6.25E-2</v>
      </c>
      <c r="K405" s="186">
        <f>SUMIFS(Table1[Horas efetivas],Table1[Tabela],Plano_V3!E405,Table1[Campo],Plano_V3!F405)</f>
        <v>0</v>
      </c>
      <c r="L405" s="186">
        <f t="shared" ref="L405:L411" si="81">K405/8</f>
        <v>0</v>
      </c>
      <c r="M405" s="180"/>
      <c r="N405" s="180">
        <f t="shared" ref="N405:N411" si="82">L405/J405</f>
        <v>0</v>
      </c>
      <c r="O405" s="180">
        <f t="shared" ref="O405:O411" si="83">N405-M405</f>
        <v>0</v>
      </c>
      <c r="P405" s="89" t="s">
        <v>39</v>
      </c>
      <c r="Q405" s="90">
        <f t="shared" ref="Q405:Q411" si="84">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79"/>
        <v>modesg_inp_emss_nacearea_atividade</v>
      </c>
      <c r="B406" s="67" t="s">
        <v>26</v>
      </c>
      <c r="C406" s="68" t="s">
        <v>181</v>
      </c>
      <c r="D406" s="64" t="s">
        <v>40</v>
      </c>
      <c r="E406" s="66" t="s">
        <v>218</v>
      </c>
      <c r="F406" s="64" t="s">
        <v>658</v>
      </c>
      <c r="G406" s="64" t="str">
        <f>INDEX(Auxiliar!$B$16:$B$24,MATCH(Plano_V3!H406,Auxiliar!$C$16:$C$24,0),1)</f>
        <v>0. Cancelado</v>
      </c>
      <c r="H406" s="64">
        <f>VLOOKUP(A406,'Aux - pivots1'!$A:$B,2,0)</f>
        <v>0</v>
      </c>
      <c r="I406" s="186">
        <f>SUMIFS(Table1[Estimação (horas)],Table1[Tabela],Plano_V3!E406,Table1[Campo],Plano_V3!F406)</f>
        <v>0.5</v>
      </c>
      <c r="J406" s="186">
        <f t="shared" si="80"/>
        <v>6.25E-2</v>
      </c>
      <c r="K406" s="186">
        <f>SUMIFS(Table1[Horas efetivas],Table1[Tabela],Plano_V3!E406,Table1[Campo],Plano_V3!F406)</f>
        <v>0</v>
      </c>
      <c r="L406" s="186">
        <f t="shared" si="81"/>
        <v>0</v>
      </c>
      <c r="M406" s="180"/>
      <c r="N406" s="180">
        <f t="shared" si="82"/>
        <v>0</v>
      </c>
      <c r="O406" s="180">
        <f t="shared" si="83"/>
        <v>0</v>
      </c>
      <c r="P406" s="89" t="s">
        <v>39</v>
      </c>
      <c r="Q406" s="90">
        <f t="shared" si="84"/>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79"/>
        <v>modesg_inp_emss_nacetipo_atividade</v>
      </c>
      <c r="B407" s="67" t="s">
        <v>26</v>
      </c>
      <c r="C407" s="68" t="s">
        <v>181</v>
      </c>
      <c r="D407" s="64" t="s">
        <v>40</v>
      </c>
      <c r="E407" s="66" t="s">
        <v>218</v>
      </c>
      <c r="F407" s="64" t="s">
        <v>659</v>
      </c>
      <c r="G407" s="64" t="str">
        <f>INDEX(Auxiliar!$B$16:$B$24,MATCH(Plano_V3!H407,Auxiliar!$C$16:$C$24,0),1)</f>
        <v>0. Cancelado</v>
      </c>
      <c r="H407" s="64">
        <f>VLOOKUP(A407,'Aux - pivots1'!$A:$B,2,0)</f>
        <v>0</v>
      </c>
      <c r="I407" s="186">
        <f>SUMIFS(Table1[Estimação (horas)],Table1[Tabela],Plano_V3!E407,Table1[Campo],Plano_V3!F407)</f>
        <v>0.5</v>
      </c>
      <c r="J407" s="186">
        <f t="shared" si="80"/>
        <v>6.25E-2</v>
      </c>
      <c r="K407" s="186">
        <f>SUMIFS(Table1[Horas efetivas],Table1[Tabela],Plano_V3!E407,Table1[Campo],Plano_V3!F407)</f>
        <v>0</v>
      </c>
      <c r="L407" s="186">
        <f t="shared" si="81"/>
        <v>0</v>
      </c>
      <c r="M407" s="180"/>
      <c r="N407" s="180">
        <f t="shared" si="82"/>
        <v>0</v>
      </c>
      <c r="O407" s="180">
        <f t="shared" si="83"/>
        <v>0</v>
      </c>
      <c r="P407" s="89" t="s">
        <v>39</v>
      </c>
      <c r="Q407" s="90">
        <f t="shared" si="8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79"/>
        <v>modesg_inp_emss_nacesub_tipo_atividade_1</v>
      </c>
      <c r="B408" s="67" t="s">
        <v>26</v>
      </c>
      <c r="C408" s="68" t="s">
        <v>181</v>
      </c>
      <c r="D408" s="64" t="s">
        <v>40</v>
      </c>
      <c r="E408" s="66" t="s">
        <v>218</v>
      </c>
      <c r="F408" s="64" t="s">
        <v>660</v>
      </c>
      <c r="G408" s="64" t="str">
        <f>INDEX(Auxiliar!$B$16:$B$24,MATCH(Plano_V3!H408,Auxiliar!$C$16:$C$24,0),1)</f>
        <v>0. Cancelado</v>
      </c>
      <c r="H408" s="64">
        <f>VLOOKUP(A408,'Aux - pivots1'!$A:$B,2,0)</f>
        <v>0</v>
      </c>
      <c r="I408" s="186">
        <f>SUMIFS(Table1[Estimação (horas)],Table1[Tabela],Plano_V3!E408,Table1[Campo],Plano_V3!F408)</f>
        <v>0.5</v>
      </c>
      <c r="J408" s="186">
        <f t="shared" si="80"/>
        <v>6.25E-2</v>
      </c>
      <c r="K408" s="186">
        <f>SUMIFS(Table1[Horas efetivas],Table1[Tabela],Plano_V3!E408,Table1[Campo],Plano_V3!F408)</f>
        <v>0</v>
      </c>
      <c r="L408" s="186">
        <f t="shared" si="81"/>
        <v>0</v>
      </c>
      <c r="M408" s="180"/>
      <c r="N408" s="180">
        <f t="shared" si="82"/>
        <v>0</v>
      </c>
      <c r="O408" s="180">
        <f t="shared" si="83"/>
        <v>0</v>
      </c>
      <c r="P408" s="89" t="s">
        <v>39</v>
      </c>
      <c r="Q408" s="90">
        <f t="shared" si="8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79"/>
        <v>modesg_inp_emss_nacesub_tipo_atividade_2</v>
      </c>
      <c r="B409" s="67" t="s">
        <v>26</v>
      </c>
      <c r="C409" s="68" t="s">
        <v>181</v>
      </c>
      <c r="D409" s="64" t="s">
        <v>40</v>
      </c>
      <c r="E409" s="66" t="s">
        <v>218</v>
      </c>
      <c r="F409" s="64" t="s">
        <v>661</v>
      </c>
      <c r="G409" s="64" t="str">
        <f>INDEX(Auxiliar!$B$16:$B$24,MATCH(Plano_V3!H409,Auxiliar!$C$16:$C$24,0),1)</f>
        <v>0. Cancelado</v>
      </c>
      <c r="H409" s="64">
        <f>VLOOKUP(A409,'Aux - pivots1'!$A:$B,2,0)</f>
        <v>0</v>
      </c>
      <c r="I409" s="186">
        <f>SUMIFS(Table1[Estimação (horas)],Table1[Tabela],Plano_V3!E409,Table1[Campo],Plano_V3!F409)</f>
        <v>0.5</v>
      </c>
      <c r="J409" s="186">
        <f t="shared" si="80"/>
        <v>6.25E-2</v>
      </c>
      <c r="K409" s="186">
        <f>SUMIFS(Table1[Horas efetivas],Table1[Tabela],Plano_V3!E409,Table1[Campo],Plano_V3!F409)</f>
        <v>0</v>
      </c>
      <c r="L409" s="186">
        <f t="shared" si="81"/>
        <v>0</v>
      </c>
      <c r="M409" s="180"/>
      <c r="N409" s="180">
        <f t="shared" si="82"/>
        <v>0</v>
      </c>
      <c r="O409" s="180">
        <f t="shared" si="83"/>
        <v>0</v>
      </c>
      <c r="P409" s="89" t="s">
        <v>39</v>
      </c>
      <c r="Q409" s="90">
        <f t="shared" si="8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79"/>
        <v>modesg_inp_emss_naceunidades_unidade_funcional</v>
      </c>
      <c r="B410" s="67" t="s">
        <v>26</v>
      </c>
      <c r="C410" s="68" t="s">
        <v>181</v>
      </c>
      <c r="D410" s="64" t="s">
        <v>40</v>
      </c>
      <c r="E410" s="66" t="s">
        <v>218</v>
      </c>
      <c r="F410" s="64" t="s">
        <v>662</v>
      </c>
      <c r="G410" s="64" t="str">
        <f>INDEX(Auxiliar!$B$16:$B$24,MATCH(Plano_V3!H410,Auxiliar!$C$16:$C$24,0),1)</f>
        <v>0. Cancelado</v>
      </c>
      <c r="H410" s="64">
        <f>VLOOKUP(A410,'Aux - pivots1'!$A:$B,2,0)</f>
        <v>0</v>
      </c>
      <c r="I410" s="186">
        <f>SUMIFS(Table1[Estimação (horas)],Table1[Tabela],Plano_V3!E410,Table1[Campo],Plano_V3!F410)</f>
        <v>0.5</v>
      </c>
      <c r="J410" s="186">
        <f t="shared" si="80"/>
        <v>6.25E-2</v>
      </c>
      <c r="K410" s="186">
        <f>SUMIFS(Table1[Horas efetivas],Table1[Tabela],Plano_V3!E410,Table1[Campo],Plano_V3!F410)</f>
        <v>0</v>
      </c>
      <c r="L410" s="186">
        <f t="shared" si="81"/>
        <v>0</v>
      </c>
      <c r="M410" s="180"/>
      <c r="N410" s="180">
        <f t="shared" si="82"/>
        <v>0</v>
      </c>
      <c r="O410" s="180">
        <f t="shared" si="83"/>
        <v>0</v>
      </c>
      <c r="P410" s="89" t="s">
        <v>39</v>
      </c>
      <c r="Q410" s="90">
        <f t="shared" si="8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79"/>
        <v>modesg_inp_emss_nacefator_emissao</v>
      </c>
      <c r="B411" s="67" t="s">
        <v>26</v>
      </c>
      <c r="C411" s="68" t="s">
        <v>181</v>
      </c>
      <c r="D411" s="64" t="s">
        <v>40</v>
      </c>
      <c r="E411" s="66" t="s">
        <v>218</v>
      </c>
      <c r="F411" s="64" t="s">
        <v>663</v>
      </c>
      <c r="G411" s="64" t="str">
        <f>INDEX(Auxiliar!$B$16:$B$24,MATCH(Plano_V3!H411,Auxiliar!$C$16:$C$24,0),1)</f>
        <v>0. Cancelado</v>
      </c>
      <c r="H411" s="64">
        <f>VLOOKUP(A411,'Aux - pivots1'!$A:$B,2,0)</f>
        <v>0</v>
      </c>
      <c r="I411" s="186">
        <f>SUMIFS(Table1[Estimação (horas)],Table1[Tabela],Plano_V3!E411,Table1[Campo],Plano_V3!F411)</f>
        <v>0.5</v>
      </c>
      <c r="J411" s="186">
        <f t="shared" si="80"/>
        <v>6.25E-2</v>
      </c>
      <c r="K411" s="186">
        <f>SUMIFS(Table1[Horas efetivas],Table1[Tabela],Plano_V3!E411,Table1[Campo],Plano_V3!F411)</f>
        <v>0</v>
      </c>
      <c r="L411" s="186">
        <f t="shared" si="81"/>
        <v>0</v>
      </c>
      <c r="M411" s="180"/>
      <c r="N411" s="180">
        <f t="shared" si="82"/>
        <v>0</v>
      </c>
      <c r="O411" s="180">
        <f t="shared" si="83"/>
        <v>0</v>
      </c>
      <c r="P411" s="89" t="s">
        <v>39</v>
      </c>
      <c r="Q411" s="90">
        <f t="shared" si="84"/>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78"/>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74"/>
        <v>6.25E-2</v>
      </c>
      <c r="K412" s="186">
        <f>SUMIFS(Table1[Horas efetivas],Table1[Tabela],Plano_V3!E412,Table1[Campo],Plano_V3!F412)</f>
        <v>0.5</v>
      </c>
      <c r="L412" s="186">
        <f t="shared" si="75"/>
        <v>6.25E-2</v>
      </c>
      <c r="M412" s="180"/>
      <c r="N412" s="180">
        <f t="shared" si="76"/>
        <v>1</v>
      </c>
      <c r="O412" s="180">
        <f t="shared" si="77"/>
        <v>1</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78"/>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74"/>
        <v>6.25E-2</v>
      </c>
      <c r="K413" s="186">
        <f>SUMIFS(Table1[Horas efetivas],Table1[Tabela],Plano_V3!E413,Table1[Campo],Plano_V3!F413)</f>
        <v>0.5</v>
      </c>
      <c r="L413" s="186">
        <f t="shared" si="75"/>
        <v>6.25E-2</v>
      </c>
      <c r="M413" s="180"/>
      <c r="N413" s="180">
        <f t="shared" si="76"/>
        <v>1</v>
      </c>
      <c r="O413" s="180">
        <f t="shared" si="77"/>
        <v>1</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78"/>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74"/>
        <v>6.25E-2</v>
      </c>
      <c r="K414" s="186">
        <f>SUMIFS(Table1[Horas efetivas],Table1[Tabela],Plano_V3!E414,Table1[Campo],Plano_V3!F414)</f>
        <v>0.5</v>
      </c>
      <c r="L414" s="186">
        <f t="shared" si="75"/>
        <v>6.25E-2</v>
      </c>
      <c r="M414" s="180"/>
      <c r="N414" s="180">
        <f t="shared" si="76"/>
        <v>1</v>
      </c>
      <c r="O414" s="180">
        <f t="shared" si="77"/>
        <v>1</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78"/>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74"/>
        <v>6.25E-2</v>
      </c>
      <c r="K415" s="186">
        <f>SUMIFS(Table1[Horas efetivas],Table1[Tabela],Plano_V3!E415,Table1[Campo],Plano_V3!F415)</f>
        <v>0.5</v>
      </c>
      <c r="L415" s="186">
        <f t="shared" si="75"/>
        <v>6.25E-2</v>
      </c>
      <c r="M415" s="180"/>
      <c r="N415" s="180">
        <f t="shared" si="76"/>
        <v>1</v>
      </c>
      <c r="O415" s="180">
        <f t="shared" si="77"/>
        <v>1</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78"/>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74"/>
        <v>0.125</v>
      </c>
      <c r="K416" s="186">
        <f>SUMIFS(Table1[Horas efetivas],Table1[Tabela],Plano_V3!E416,Table1[Campo],Plano_V3!F416)</f>
        <v>1</v>
      </c>
      <c r="L416" s="186">
        <f t="shared" si="75"/>
        <v>0.125</v>
      </c>
      <c r="M416" s="180"/>
      <c r="N416" s="180">
        <f t="shared" si="76"/>
        <v>1</v>
      </c>
      <c r="O416" s="180">
        <f t="shared" si="77"/>
        <v>1</v>
      </c>
      <c r="P416" s="89" t="s">
        <v>39</v>
      </c>
      <c r="Q416" s="90">
        <f t="shared" ref="Q416:Q508" si="85">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78"/>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74"/>
        <v>6.25E-2</v>
      </c>
      <c r="K417" s="186">
        <f>SUMIFS(Table1[Horas efetivas],Table1[Tabela],Plano_V3!E417,Table1[Campo],Plano_V3!F417)</f>
        <v>0.5</v>
      </c>
      <c r="L417" s="186">
        <f t="shared" si="75"/>
        <v>6.25E-2</v>
      </c>
      <c r="M417" s="180"/>
      <c r="N417" s="180">
        <f t="shared" si="76"/>
        <v>1</v>
      </c>
      <c r="O417" s="180">
        <f t="shared" si="77"/>
        <v>1</v>
      </c>
      <c r="P417" s="89" t="s">
        <v>39</v>
      </c>
      <c r="Q417" s="90">
        <f t="shared" si="85"/>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78"/>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74"/>
        <v>6.25E-2</v>
      </c>
      <c r="K418" s="186">
        <f>SUMIFS(Table1[Horas efetivas],Table1[Tabela],Plano_V3!E418,Table1[Campo],Plano_V3!F418)</f>
        <v>0.5</v>
      </c>
      <c r="L418" s="186">
        <f t="shared" si="75"/>
        <v>6.25E-2</v>
      </c>
      <c r="M418" s="180"/>
      <c r="N418" s="180">
        <f t="shared" si="76"/>
        <v>1</v>
      </c>
      <c r="O418" s="180">
        <f t="shared" si="77"/>
        <v>1</v>
      </c>
      <c r="P418" s="89" t="s">
        <v>39</v>
      </c>
      <c r="Q418" s="90">
        <f t="shared" si="8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78"/>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74"/>
        <v>6.25E-2</v>
      </c>
      <c r="K419" s="186">
        <f>SUMIFS(Table1[Horas efetivas],Table1[Tabela],Plano_V3!E419,Table1[Campo],Plano_V3!F419)</f>
        <v>0.5</v>
      </c>
      <c r="L419" s="186">
        <f t="shared" si="75"/>
        <v>6.25E-2</v>
      </c>
      <c r="M419" s="180"/>
      <c r="N419" s="180">
        <f t="shared" si="76"/>
        <v>1</v>
      </c>
      <c r="O419" s="180">
        <f t="shared" si="77"/>
        <v>1</v>
      </c>
      <c r="P419" s="89" t="s">
        <v>39</v>
      </c>
      <c r="Q419" s="90">
        <f t="shared" si="8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78"/>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74"/>
        <v>6.25E-2</v>
      </c>
      <c r="K420" s="186">
        <f>SUMIFS(Table1[Horas efetivas],Table1[Tabela],Plano_V3!E420,Table1[Campo],Plano_V3!F420)</f>
        <v>0.5</v>
      </c>
      <c r="L420" s="186">
        <f t="shared" si="75"/>
        <v>6.25E-2</v>
      </c>
      <c r="M420" s="180"/>
      <c r="N420" s="180">
        <f t="shared" si="76"/>
        <v>1</v>
      </c>
      <c r="O420" s="180">
        <f t="shared" si="77"/>
        <v>1</v>
      </c>
      <c r="P420" s="89" t="s">
        <v>39</v>
      </c>
      <c r="Q420" s="90">
        <f t="shared" si="8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78"/>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74"/>
        <v>6.25E-2</v>
      </c>
      <c r="K421" s="186">
        <f>SUMIFS(Table1[Horas efetivas],Table1[Tabela],Plano_V3!E421,Table1[Campo],Plano_V3!F421)</f>
        <v>0</v>
      </c>
      <c r="L421" s="186">
        <f t="shared" si="75"/>
        <v>0</v>
      </c>
      <c r="M421" s="180"/>
      <c r="N421" s="180">
        <f t="shared" si="76"/>
        <v>0</v>
      </c>
      <c r="O421" s="180">
        <f t="shared" si="77"/>
        <v>0</v>
      </c>
      <c r="P421" s="89" t="s">
        <v>39</v>
      </c>
      <c r="Q421" s="90">
        <f t="shared" si="8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78"/>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74"/>
        <v>6.25E-2</v>
      </c>
      <c r="K422" s="186">
        <f>SUMIFS(Table1[Horas efetivas],Table1[Tabela],Plano_V3!E422,Table1[Campo],Plano_V3!F422)</f>
        <v>0.5</v>
      </c>
      <c r="L422" s="186">
        <f t="shared" si="75"/>
        <v>6.25E-2</v>
      </c>
      <c r="M422" s="180"/>
      <c r="N422" s="180">
        <f t="shared" si="76"/>
        <v>1</v>
      </c>
      <c r="O422" s="180">
        <f t="shared" si="77"/>
        <v>1</v>
      </c>
      <c r="P422" s="89" t="s">
        <v>39</v>
      </c>
      <c r="Q422" s="90">
        <f t="shared" si="8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78"/>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74"/>
        <v>6.25E-2</v>
      </c>
      <c r="K423" s="186">
        <f>SUMIFS(Table1[Horas efetivas],Table1[Tabela],Plano_V3!E423,Table1[Campo],Plano_V3!F423)</f>
        <v>0.5</v>
      </c>
      <c r="L423" s="186">
        <f t="shared" si="75"/>
        <v>6.25E-2</v>
      </c>
      <c r="M423" s="180"/>
      <c r="N423" s="180">
        <f t="shared" si="76"/>
        <v>1</v>
      </c>
      <c r="O423" s="180">
        <f t="shared" si="77"/>
        <v>1</v>
      </c>
      <c r="P423" s="89" t="s">
        <v>39</v>
      </c>
      <c r="Q423" s="90">
        <f t="shared" si="8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78"/>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74"/>
        <v>6.25E-2</v>
      </c>
      <c r="K424" s="186">
        <f>SUMIFS(Table1[Horas efetivas],Table1[Tabela],Plano_V3!E424,Table1[Campo],Plano_V3!F424)</f>
        <v>0.5</v>
      </c>
      <c r="L424" s="186">
        <f t="shared" si="75"/>
        <v>6.25E-2</v>
      </c>
      <c r="M424" s="180"/>
      <c r="N424" s="180">
        <f t="shared" si="76"/>
        <v>1</v>
      </c>
      <c r="O424" s="180">
        <f t="shared" si="77"/>
        <v>1</v>
      </c>
      <c r="P424" s="89" t="s">
        <v>39</v>
      </c>
      <c r="Q424" s="90">
        <f t="shared" si="8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78"/>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74"/>
        <v>6.25E-2</v>
      </c>
      <c r="K425" s="186">
        <f>SUMIFS(Table1[Horas efetivas],Table1[Tabela],Plano_V3!E425,Table1[Campo],Plano_V3!F425)</f>
        <v>0.5</v>
      </c>
      <c r="L425" s="186">
        <f t="shared" si="75"/>
        <v>6.25E-2</v>
      </c>
      <c r="M425" s="180"/>
      <c r="N425" s="180">
        <f t="shared" si="76"/>
        <v>1</v>
      </c>
      <c r="O425" s="180">
        <f t="shared" si="77"/>
        <v>1</v>
      </c>
      <c r="P425" s="89" t="s">
        <v>39</v>
      </c>
      <c r="Q425" s="90">
        <f t="shared" si="8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78"/>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74"/>
        <v>6.25E-2</v>
      </c>
      <c r="K426" s="186">
        <f>SUMIFS(Table1[Horas efetivas],Table1[Tabela],Plano_V3!E426,Table1[Campo],Plano_V3!F426)</f>
        <v>0.5</v>
      </c>
      <c r="L426" s="186">
        <f t="shared" si="75"/>
        <v>6.25E-2</v>
      </c>
      <c r="M426" s="180"/>
      <c r="N426" s="180">
        <f t="shared" si="76"/>
        <v>1</v>
      </c>
      <c r="O426" s="180">
        <f t="shared" si="77"/>
        <v>1</v>
      </c>
      <c r="P426" s="89" t="s">
        <v>39</v>
      </c>
      <c r="Q426" s="90">
        <f t="shared" si="8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78"/>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74"/>
        <v>6.25E-2</v>
      </c>
      <c r="K427" s="186">
        <f>SUMIFS(Table1[Horas efetivas],Table1[Tabela],Plano_V3!E427,Table1[Campo],Plano_V3!F427)</f>
        <v>0.5</v>
      </c>
      <c r="L427" s="186">
        <f t="shared" si="75"/>
        <v>6.25E-2</v>
      </c>
      <c r="M427" s="180"/>
      <c r="N427" s="180">
        <f t="shared" si="76"/>
        <v>1</v>
      </c>
      <c r="O427" s="180">
        <f t="shared" si="77"/>
        <v>1</v>
      </c>
      <c r="P427" s="89" t="s">
        <v>39</v>
      </c>
      <c r="Q427" s="90">
        <f t="shared" si="8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78"/>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74"/>
        <v>7.4999999999999997E-2</v>
      </c>
      <c r="K428" s="186">
        <f>SUMIFS(Table1[Horas efetivas],Table1[Tabela],Plano_V3!E428,Table1[Campo],Plano_V3!F428)</f>
        <v>0.6</v>
      </c>
      <c r="L428" s="186">
        <f t="shared" si="75"/>
        <v>7.4999999999999997E-2</v>
      </c>
      <c r="M428" s="180"/>
      <c r="N428" s="180">
        <f t="shared" si="76"/>
        <v>1</v>
      </c>
      <c r="O428" s="180">
        <f t="shared" si="77"/>
        <v>1</v>
      </c>
      <c r="P428" s="89" t="s">
        <v>39</v>
      </c>
      <c r="Q428" s="90">
        <f t="shared" si="85"/>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78"/>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74"/>
        <v>7.4999999999999997E-2</v>
      </c>
      <c r="K429" s="186">
        <f>SUMIFS(Table1[Horas efetivas],Table1[Tabela],Plano_V3!E429,Table1[Campo],Plano_V3!F429)</f>
        <v>0.6</v>
      </c>
      <c r="L429" s="186">
        <f t="shared" si="75"/>
        <v>7.4999999999999997E-2</v>
      </c>
      <c r="M429" s="180"/>
      <c r="N429" s="180">
        <f t="shared" si="76"/>
        <v>1</v>
      </c>
      <c r="O429" s="180">
        <f t="shared" si="77"/>
        <v>1</v>
      </c>
      <c r="P429" s="89" t="s">
        <v>39</v>
      </c>
      <c r="Q429" s="90">
        <f t="shared" si="85"/>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78"/>
        <v>modesg_inp_project_financecodigo_unidade</v>
      </c>
      <c r="B430" s="67"/>
      <c r="C430" s="68"/>
      <c r="D430" s="64" t="s">
        <v>40</v>
      </c>
      <c r="E430" s="66" t="s">
        <v>2117</v>
      </c>
      <c r="F430" s="64" t="s">
        <v>2118</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86">I430/8</f>
        <v>#N/A</v>
      </c>
      <c r="K430" s="186" t="e">
        <f>SUMIFS(Table1[Horas efetivas],Table1[Tabela],Plano_V3!E430,Table1[Campo],Plano_V3!F430)</f>
        <v>#N/A</v>
      </c>
      <c r="L430" s="186" t="e">
        <f t="shared" ref="L430:L438" si="87">K430/8</f>
        <v>#N/A</v>
      </c>
      <c r="M430" s="180"/>
      <c r="N430" s="180" t="e">
        <f t="shared" ref="N430:N438" si="88">L430/J430</f>
        <v>#N/A</v>
      </c>
      <c r="O430" s="180" t="e">
        <f t="shared" ref="O430:O438" si="89">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78"/>
        <v>modesg_inp_project_financenome_unidade</v>
      </c>
      <c r="B431" s="67"/>
      <c r="C431" s="68"/>
      <c r="D431" s="64" t="s">
        <v>40</v>
      </c>
      <c r="E431" s="66" t="s">
        <v>2117</v>
      </c>
      <c r="F431" s="64" t="s">
        <v>2119</v>
      </c>
      <c r="G431" s="64" t="str">
        <f>INDEX(Auxiliar!$B$16:$B$24,MATCH(Plano_V3!H431,Auxiliar!$C$16:$C$24,0),1)</f>
        <v>1. Concluído</v>
      </c>
      <c r="H431" s="64">
        <f>VLOOKUP(A431,'Aux - pivots1'!$A:$B,2,0)</f>
        <v>1</v>
      </c>
      <c r="I431" s="186" t="e">
        <f>SUMIFS(Table1[Estimação (horas)],Table1[Tabela],Plano_V3!E431,Table1[Campo],Plano_V3!F431)</f>
        <v>#N/A</v>
      </c>
      <c r="J431" s="186" t="e">
        <f t="shared" si="86"/>
        <v>#N/A</v>
      </c>
      <c r="K431" s="186" t="e">
        <f>SUMIFS(Table1[Horas efetivas],Table1[Tabela],Plano_V3!E431,Table1[Campo],Plano_V3!F431)</f>
        <v>#N/A</v>
      </c>
      <c r="L431" s="186" t="e">
        <f t="shared" si="87"/>
        <v>#N/A</v>
      </c>
      <c r="M431" s="180"/>
      <c r="N431" s="180" t="e">
        <f t="shared" si="88"/>
        <v>#N/A</v>
      </c>
      <c r="O431" s="180" t="e">
        <f t="shared" si="89"/>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78"/>
        <v>modesg_inp_project_financekgl</v>
      </c>
      <c r="B432" s="67"/>
      <c r="C432" s="68"/>
      <c r="D432" s="64" t="s">
        <v>40</v>
      </c>
      <c r="E432" s="66" t="s">
        <v>2117</v>
      </c>
      <c r="F432" s="64" t="s">
        <v>2120</v>
      </c>
      <c r="G432" s="64" t="str">
        <f>INDEX(Auxiliar!$B$16:$B$24,MATCH(Plano_V3!H432,Auxiliar!$C$16:$C$24,0),1)</f>
        <v>1. Concluído</v>
      </c>
      <c r="H432" s="64">
        <f>VLOOKUP(A432,'Aux - pivots1'!$A:$B,2,0)</f>
        <v>1</v>
      </c>
      <c r="I432" s="186" t="e">
        <f>SUMIFS(Table1[Estimação (horas)],Table1[Tabela],Plano_V3!E432,Table1[Campo],Plano_V3!F432)</f>
        <v>#N/A</v>
      </c>
      <c r="J432" s="186" t="e">
        <f t="shared" si="86"/>
        <v>#N/A</v>
      </c>
      <c r="K432" s="186" t="e">
        <f>SUMIFS(Table1[Horas efetivas],Table1[Tabela],Plano_V3!E432,Table1[Campo],Plano_V3!F432)</f>
        <v>#N/A</v>
      </c>
      <c r="L432" s="186" t="e">
        <f t="shared" si="87"/>
        <v>#N/A</v>
      </c>
      <c r="M432" s="180"/>
      <c r="N432" s="180" t="e">
        <f t="shared" si="88"/>
        <v>#N/A</v>
      </c>
      <c r="O432" s="180" t="e">
        <f t="shared" si="89"/>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78"/>
        <v>modesg_inp_project_financenome_legal_kgl</v>
      </c>
      <c r="B433" s="67"/>
      <c r="C433" s="68"/>
      <c r="D433" s="64" t="s">
        <v>40</v>
      </c>
      <c r="E433" s="66" t="s">
        <v>2117</v>
      </c>
      <c r="F433" s="64" t="s">
        <v>2121</v>
      </c>
      <c r="G433" s="64" t="str">
        <f>INDEX(Auxiliar!$B$16:$B$24,MATCH(Plano_V3!H433,Auxiliar!$C$16:$C$24,0),1)</f>
        <v>1. Concluído</v>
      </c>
      <c r="H433" s="64">
        <f>VLOOKUP(A433,'Aux - pivots1'!$A:$B,2,0)</f>
        <v>1</v>
      </c>
      <c r="I433" s="186" t="e">
        <f>SUMIFS(Table1[Estimação (horas)],Table1[Tabela],Plano_V3!E433,Table1[Campo],Plano_V3!F433)</f>
        <v>#N/A</v>
      </c>
      <c r="J433" s="186" t="e">
        <f t="shared" si="86"/>
        <v>#N/A</v>
      </c>
      <c r="K433" s="186" t="e">
        <f>SUMIFS(Table1[Horas efetivas],Table1[Tabela],Plano_V3!E433,Table1[Campo],Plano_V3!F433)</f>
        <v>#N/A</v>
      </c>
      <c r="L433" s="186" t="e">
        <f t="shared" si="87"/>
        <v>#N/A</v>
      </c>
      <c r="M433" s="180"/>
      <c r="N433" s="180" t="e">
        <f t="shared" si="88"/>
        <v>#N/A</v>
      </c>
      <c r="O433" s="180" t="e">
        <f t="shared" si="89"/>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78"/>
        <v>modesg_inp_project_financekgl_top_entidade_principal</v>
      </c>
      <c r="B434" s="67"/>
      <c r="C434" s="68"/>
      <c r="D434" s="64" t="s">
        <v>40</v>
      </c>
      <c r="E434" s="66" t="s">
        <v>2117</v>
      </c>
      <c r="F434" s="64" t="s">
        <v>2122</v>
      </c>
      <c r="G434" s="64" t="str">
        <f>INDEX(Auxiliar!$B$16:$B$24,MATCH(Plano_V3!H434,Auxiliar!$C$16:$C$24,0),1)</f>
        <v>1. Concluído</v>
      </c>
      <c r="H434" s="64">
        <f>VLOOKUP(A434,'Aux - pivots1'!$A:$B,2,0)</f>
        <v>1</v>
      </c>
      <c r="I434" s="186" t="e">
        <f>SUMIFS(Table1[Estimação (horas)],Table1[Tabela],Plano_V3!E434,Table1[Campo],Plano_V3!F434)</f>
        <v>#N/A</v>
      </c>
      <c r="J434" s="186" t="e">
        <f t="shared" si="86"/>
        <v>#N/A</v>
      </c>
      <c r="K434" s="186" t="e">
        <f>SUMIFS(Table1[Horas efetivas],Table1[Tabela],Plano_V3!E434,Table1[Campo],Plano_V3!F434)</f>
        <v>#N/A</v>
      </c>
      <c r="L434" s="186" t="e">
        <f t="shared" si="87"/>
        <v>#N/A</v>
      </c>
      <c r="M434" s="180"/>
      <c r="N434" s="180" t="e">
        <f t="shared" si="88"/>
        <v>#N/A</v>
      </c>
      <c r="O434" s="180" t="e">
        <f t="shared" si="89"/>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78"/>
        <v>modesg_inp_project_financekgl_entidade_principal</v>
      </c>
      <c r="B435" s="67"/>
      <c r="C435" s="68"/>
      <c r="D435" s="64" t="s">
        <v>40</v>
      </c>
      <c r="E435" s="66" t="s">
        <v>2117</v>
      </c>
      <c r="F435" s="64" t="s">
        <v>2123</v>
      </c>
      <c r="G435" s="64" t="str">
        <f>INDEX(Auxiliar!$B$16:$B$24,MATCH(Plano_V3!H435,Auxiliar!$C$16:$C$24,0),1)</f>
        <v>1. Concluído</v>
      </c>
      <c r="H435" s="64">
        <f>VLOOKUP(A435,'Aux - pivots1'!$A:$B,2,0)</f>
        <v>1</v>
      </c>
      <c r="I435" s="186" t="e">
        <f>SUMIFS(Table1[Estimação (horas)],Table1[Tabela],Plano_V3!E435,Table1[Campo],Plano_V3!F435)</f>
        <v>#N/A</v>
      </c>
      <c r="J435" s="186" t="e">
        <f t="shared" si="86"/>
        <v>#N/A</v>
      </c>
      <c r="K435" s="186" t="e">
        <f>SUMIFS(Table1[Horas efetivas],Table1[Tabela],Plano_V3!E435,Table1[Campo],Plano_V3!F435)</f>
        <v>#N/A</v>
      </c>
      <c r="L435" s="186" t="e">
        <f t="shared" si="87"/>
        <v>#N/A</v>
      </c>
      <c r="M435" s="180"/>
      <c r="N435" s="180" t="e">
        <f t="shared" si="88"/>
        <v>#N/A</v>
      </c>
      <c r="O435" s="180" t="e">
        <f t="shared" si="89"/>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78"/>
        <v>modesg_inp_project_financenome_top_entidade_principal</v>
      </c>
      <c r="B436" s="67"/>
      <c r="C436" s="68"/>
      <c r="D436" s="64" t="s">
        <v>40</v>
      </c>
      <c r="E436" s="66" t="s">
        <v>2117</v>
      </c>
      <c r="F436" s="64" t="s">
        <v>2124</v>
      </c>
      <c r="G436" s="64" t="str">
        <f>INDEX(Auxiliar!$B$16:$B$24,MATCH(Plano_V3!H436,Auxiliar!$C$16:$C$24,0),1)</f>
        <v>1. Concluído</v>
      </c>
      <c r="H436" s="64">
        <f>VLOOKUP(A436,'Aux - pivots1'!$A:$B,2,0)</f>
        <v>1</v>
      </c>
      <c r="I436" s="186" t="e">
        <f>SUMIFS(Table1[Estimação (horas)],Table1[Tabela],Plano_V3!E436,Table1[Campo],Plano_V3!F436)</f>
        <v>#N/A</v>
      </c>
      <c r="J436" s="186" t="e">
        <f t="shared" si="86"/>
        <v>#N/A</v>
      </c>
      <c r="K436" s="186" t="e">
        <f>SUMIFS(Table1[Horas efetivas],Table1[Tabela],Plano_V3!E436,Table1[Campo],Plano_V3!F436)</f>
        <v>#N/A</v>
      </c>
      <c r="L436" s="186" t="e">
        <f t="shared" si="87"/>
        <v>#N/A</v>
      </c>
      <c r="M436" s="180"/>
      <c r="N436" s="180" t="e">
        <f t="shared" si="88"/>
        <v>#N/A</v>
      </c>
      <c r="O436" s="180" t="e">
        <f t="shared" si="89"/>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78"/>
        <v>modesg_inp_project_financecodigo_unidade_operativa</v>
      </c>
      <c r="B437" s="67"/>
      <c r="C437" s="68"/>
      <c r="D437" s="64" t="s">
        <v>40</v>
      </c>
      <c r="E437" s="66" t="s">
        <v>2117</v>
      </c>
      <c r="F437" s="64" t="s">
        <v>2125</v>
      </c>
      <c r="G437" s="64" t="str">
        <f>INDEX(Auxiliar!$B$16:$B$24,MATCH(Plano_V3!H437,Auxiliar!$C$16:$C$24,0),1)</f>
        <v>1. Concluído</v>
      </c>
      <c r="H437" s="64">
        <f>VLOOKUP(A437,'Aux - pivots1'!$A:$B,2,0)</f>
        <v>1</v>
      </c>
      <c r="I437" s="186" t="e">
        <f>SUMIFS(Table1[Estimação (horas)],Table1[Tabela],Plano_V3!E437,Table1[Campo],Plano_V3!F437)</f>
        <v>#N/A</v>
      </c>
      <c r="J437" s="186" t="e">
        <f t="shared" si="86"/>
        <v>#N/A</v>
      </c>
      <c r="K437" s="186" t="e">
        <f>SUMIFS(Table1[Horas efetivas],Table1[Tabela],Plano_V3!E437,Table1[Campo],Plano_V3!F437)</f>
        <v>#N/A</v>
      </c>
      <c r="L437" s="186" t="e">
        <f t="shared" si="87"/>
        <v>#N/A</v>
      </c>
      <c r="M437" s="180"/>
      <c r="N437" s="180" t="e">
        <f t="shared" si="88"/>
        <v>#N/A</v>
      </c>
      <c r="O437" s="180" t="e">
        <f t="shared" si="8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78"/>
        <v>modesg_inp_project_financenome_entidade_operativa</v>
      </c>
      <c r="B438" s="67"/>
      <c r="C438" s="68"/>
      <c r="D438" s="64" t="s">
        <v>40</v>
      </c>
      <c r="E438" s="66" t="s">
        <v>2117</v>
      </c>
      <c r="F438" s="64" t="s">
        <v>2126</v>
      </c>
      <c r="G438" s="64" t="str">
        <f>INDEX(Auxiliar!$B$16:$B$24,MATCH(Plano_V3!H438,Auxiliar!$C$16:$C$24,0),1)</f>
        <v>1. Concluído</v>
      </c>
      <c r="H438" s="64">
        <f>VLOOKUP(A438,'Aux - pivots1'!$A:$B,2,0)</f>
        <v>1</v>
      </c>
      <c r="I438" s="186" t="e">
        <f>SUMIFS(Table1[Estimação (horas)],Table1[Tabela],Plano_V3!E438,Table1[Campo],Plano_V3!F438)</f>
        <v>#N/A</v>
      </c>
      <c r="J438" s="186" t="e">
        <f t="shared" si="86"/>
        <v>#N/A</v>
      </c>
      <c r="K438" s="186">
        <f>SUMIFS(Table1[Horas efetivas],Table1[Tabela],Plano_V3!E438,Table1[Campo],Plano_V3!F438)</f>
        <v>0</v>
      </c>
      <c r="L438" s="186">
        <f t="shared" si="87"/>
        <v>0</v>
      </c>
      <c r="M438" s="180"/>
      <c r="N438" s="180" t="e">
        <f t="shared" si="88"/>
        <v>#N/A</v>
      </c>
      <c r="O438" s="180" t="e">
        <f t="shared" si="8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78"/>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77"/>
        <v>0.25</v>
      </c>
      <c r="P439" s="87"/>
      <c r="Q439" s="90">
        <f t="shared" si="85"/>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90">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77"/>
        <v>#N/A</v>
      </c>
      <c r="P440" s="191" t="s">
        <v>1865</v>
      </c>
      <c r="Q440" s="90" t="e">
        <f t="shared" si="85"/>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90"/>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91">I441/8</f>
        <v>1</v>
      </c>
      <c r="K441" s="186">
        <f>SUMIFS(Table1[Horas efetivas],Table1[Tabela],Plano_V3!E441,Table1[Campo],Plano_V3!F441)</f>
        <v>8</v>
      </c>
      <c r="L441" s="186">
        <f t="shared" ref="L441:L524" si="92">K441/8</f>
        <v>1</v>
      </c>
      <c r="M441" s="180"/>
      <c r="N441" s="180">
        <f t="shared" ref="N441:N524" si="93">L441/J441</f>
        <v>1</v>
      </c>
      <c r="O441" s="180">
        <f t="shared" si="77"/>
        <v>1</v>
      </c>
      <c r="P441" s="87" t="s">
        <v>312</v>
      </c>
      <c r="Q441" s="90">
        <f t="shared" si="85"/>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90"/>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91"/>
        <v>0.51249999999999996</v>
      </c>
      <c r="K442" s="186">
        <f>SUMIFS(Table1[Horas efetivas],Table1[Tabela],Plano_V3!E442,Table1[Campo],Plano_V3!F442)</f>
        <v>4.0999999999999996</v>
      </c>
      <c r="L442" s="186">
        <f t="shared" si="92"/>
        <v>0.51249999999999996</v>
      </c>
      <c r="M442" s="180"/>
      <c r="N442" s="180">
        <f t="shared" si="93"/>
        <v>1</v>
      </c>
      <c r="O442" s="180">
        <f t="shared" si="77"/>
        <v>1</v>
      </c>
      <c r="P442" s="87" t="s">
        <v>312</v>
      </c>
      <c r="Q442" s="90">
        <f t="shared" si="85"/>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90"/>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91"/>
        <v>0.51249999999999996</v>
      </c>
      <c r="K443" s="186">
        <f>SUMIFS(Table1[Horas efetivas],Table1[Tabela],Plano_V3!E443,Table1[Campo],Plano_V3!F443)</f>
        <v>4.0999999999999996</v>
      </c>
      <c r="L443" s="186">
        <f t="shared" si="92"/>
        <v>0.51249999999999996</v>
      </c>
      <c r="M443" s="180"/>
      <c r="N443" s="180">
        <f t="shared" si="93"/>
        <v>1</v>
      </c>
      <c r="O443" s="180">
        <f t="shared" si="77"/>
        <v>1</v>
      </c>
      <c r="P443" s="87" t="s">
        <v>312</v>
      </c>
      <c r="Q443" s="90">
        <f t="shared" si="85"/>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90"/>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91"/>
        <v>0.51249999999999996</v>
      </c>
      <c r="K444" s="186">
        <f>SUMIFS(Table1[Horas efetivas],Table1[Tabela],Plano_V3!E444,Table1[Campo],Plano_V3!F444)</f>
        <v>4.0999999999999996</v>
      </c>
      <c r="L444" s="186">
        <f t="shared" si="92"/>
        <v>0.51249999999999996</v>
      </c>
      <c r="M444" s="180"/>
      <c r="N444" s="180">
        <f t="shared" si="93"/>
        <v>1</v>
      </c>
      <c r="O444" s="180">
        <f t="shared" si="77"/>
        <v>1</v>
      </c>
      <c r="P444" s="87" t="s">
        <v>312</v>
      </c>
      <c r="Q444" s="90">
        <f t="shared" si="85"/>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90"/>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91"/>
        <v>0.51249999999999996</v>
      </c>
      <c r="K445" s="186">
        <f>SUMIFS(Table1[Horas efetivas],Table1[Tabela],Plano_V3!E445,Table1[Campo],Plano_V3!F445)</f>
        <v>4.0999999999999996</v>
      </c>
      <c r="L445" s="186">
        <f t="shared" si="92"/>
        <v>0.51249999999999996</v>
      </c>
      <c r="M445" s="180"/>
      <c r="N445" s="180">
        <f t="shared" si="93"/>
        <v>1</v>
      </c>
      <c r="O445" s="180">
        <f t="shared" si="77"/>
        <v>1</v>
      </c>
      <c r="P445" s="87" t="s">
        <v>312</v>
      </c>
      <c r="Q445" s="90">
        <f t="shared" si="85"/>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90"/>
        <v>modesg_out_bens_imoveisflg_rsc_fsc_agd</v>
      </c>
      <c r="B446" s="67" t="s">
        <v>26</v>
      </c>
      <c r="C446" s="68" t="s">
        <v>310</v>
      </c>
      <c r="D446" s="64" t="s">
        <v>40</v>
      </c>
      <c r="E446" s="66" t="s">
        <v>311</v>
      </c>
      <c r="F446" s="64" t="s">
        <v>282</v>
      </c>
      <c r="G446" s="64" t="str">
        <f>INDEX(Auxiliar!$B$16:$B$24,MATCH(Plano_V3!H446,Auxiliar!$C$16:$C$24,0),1)</f>
        <v>2.2 Em Re-especificação</v>
      </c>
      <c r="H446" s="64">
        <f>VLOOKUP(A446,'Aux - pivots1'!$A:$B,2,0)</f>
        <v>3</v>
      </c>
      <c r="I446" s="186">
        <f>SUMIFS(Table1[Estimação (horas)],Table1[Tabela],Plano_V3!E446,Table1[Campo],Plano_V3!F446)</f>
        <v>16.100000000000001</v>
      </c>
      <c r="J446" s="186">
        <f t="shared" si="91"/>
        <v>2.0125000000000002</v>
      </c>
      <c r="K446" s="186">
        <f>SUMIFS(Table1[Horas efetivas],Table1[Tabela],Plano_V3!E446,Table1[Campo],Plano_V3!F446)</f>
        <v>8.0500000000000007</v>
      </c>
      <c r="L446" s="186">
        <f t="shared" si="92"/>
        <v>1.0062500000000001</v>
      </c>
      <c r="M446" s="180"/>
      <c r="N446" s="180">
        <f t="shared" si="93"/>
        <v>0.5</v>
      </c>
      <c r="O446" s="180">
        <f t="shared" si="77"/>
        <v>0.5</v>
      </c>
      <c r="P446" s="87" t="s">
        <v>312</v>
      </c>
      <c r="Q446" s="90">
        <f t="shared" si="85"/>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90"/>
        <v>modesg_out_bens_imoveisflg_rsc_fsc_crnc</v>
      </c>
      <c r="B447" s="67" t="s">
        <v>26</v>
      </c>
      <c r="C447" s="68" t="s">
        <v>310</v>
      </c>
      <c r="D447" s="64" t="s">
        <v>40</v>
      </c>
      <c r="E447" s="66" t="s">
        <v>311</v>
      </c>
      <c r="F447" s="64" t="s">
        <v>283</v>
      </c>
      <c r="G447" s="64" t="str">
        <f>INDEX(Auxiliar!$B$16:$B$24,MATCH(Plano_V3!H447,Auxiliar!$C$16:$C$24,0),1)</f>
        <v>2.2 Em Re-especificação</v>
      </c>
      <c r="H447" s="64">
        <f>VLOOKUP(A447,'Aux - pivots1'!$A:$B,2,0)</f>
        <v>3</v>
      </c>
      <c r="I447" s="186">
        <f>SUMIFS(Table1[Estimação (horas)],Table1[Tabela],Plano_V3!E447,Table1[Campo],Plano_V3!F447)</f>
        <v>16.100000000000001</v>
      </c>
      <c r="J447" s="186">
        <f t="shared" si="91"/>
        <v>2.0125000000000002</v>
      </c>
      <c r="K447" s="186">
        <f>SUMIFS(Table1[Horas efetivas],Table1[Tabela],Plano_V3!E447,Table1[Campo],Plano_V3!F447)</f>
        <v>8.0500000000000007</v>
      </c>
      <c r="L447" s="186">
        <f t="shared" si="92"/>
        <v>1.0062500000000001</v>
      </c>
      <c r="M447" s="180"/>
      <c r="N447" s="180">
        <f t="shared" si="93"/>
        <v>0.5</v>
      </c>
      <c r="O447" s="180">
        <f t="shared" si="77"/>
        <v>0.5</v>
      </c>
      <c r="P447" s="87" t="s">
        <v>312</v>
      </c>
      <c r="Q447" s="90">
        <f t="shared" si="85"/>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90"/>
        <v>modesg_out_bens_imoveisorigem_flg_rsc_fsc_agd</v>
      </c>
      <c r="B448" s="67" t="s">
        <v>26</v>
      </c>
      <c r="C448" s="68" t="s">
        <v>310</v>
      </c>
      <c r="D448" s="64" t="s">
        <v>40</v>
      </c>
      <c r="E448" s="66" t="s">
        <v>311</v>
      </c>
      <c r="F448" s="64" t="s">
        <v>317</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91"/>
        <v>0.51249999999999996</v>
      </c>
      <c r="K448" s="186">
        <f>SUMIFS(Table1[Horas efetivas],Table1[Tabela],Plano_V3!E448,Table1[Campo],Plano_V3!F448)</f>
        <v>4.0999999999999996</v>
      </c>
      <c r="L448" s="186">
        <f t="shared" si="92"/>
        <v>0.51249999999999996</v>
      </c>
      <c r="M448" s="180"/>
      <c r="N448" s="180">
        <f t="shared" si="93"/>
        <v>1</v>
      </c>
      <c r="O448" s="180">
        <f t="shared" si="77"/>
        <v>1</v>
      </c>
      <c r="P448" s="87" t="s">
        <v>312</v>
      </c>
      <c r="Q448" s="90">
        <f t="shared" si="8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90"/>
        <v>modesg_out_bens_imoveisorigem_flg_rsc_fsc_crnc</v>
      </c>
      <c r="B449" s="67" t="s">
        <v>26</v>
      </c>
      <c r="C449" s="68" t="s">
        <v>310</v>
      </c>
      <c r="D449" s="64" t="s">
        <v>40</v>
      </c>
      <c r="E449" s="66" t="s">
        <v>311</v>
      </c>
      <c r="F449" s="64" t="s">
        <v>318</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91"/>
        <v>0.51249999999999996</v>
      </c>
      <c r="K449" s="186">
        <f>SUMIFS(Table1[Horas efetivas],Table1[Tabela],Plano_V3!E449,Table1[Campo],Plano_V3!F449)</f>
        <v>4.0999999999999996</v>
      </c>
      <c r="L449" s="186">
        <f t="shared" si="92"/>
        <v>0.51249999999999996</v>
      </c>
      <c r="M449" s="180"/>
      <c r="N449" s="180">
        <f t="shared" si="93"/>
        <v>1</v>
      </c>
      <c r="O449" s="180">
        <f t="shared" si="77"/>
        <v>1</v>
      </c>
      <c r="P449" s="87" t="s">
        <v>312</v>
      </c>
      <c r="Q449" s="90">
        <f t="shared" si="8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90"/>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91"/>
        <v>0.51249999999999996</v>
      </c>
      <c r="K450" s="186">
        <f>SUMIFS(Table1[Horas efetivas],Table1[Tabela],Plano_V3!E450,Table1[Campo],Plano_V3!F450)</f>
        <v>4.0999999999999996</v>
      </c>
      <c r="L450" s="186">
        <f t="shared" si="92"/>
        <v>0.51249999999999996</v>
      </c>
      <c r="M450" s="180"/>
      <c r="N450" s="180">
        <f t="shared" si="93"/>
        <v>1</v>
      </c>
      <c r="O450" s="180">
        <f t="shared" si="77"/>
        <v>1</v>
      </c>
      <c r="P450" s="87" t="s">
        <v>312</v>
      </c>
      <c r="Q450" s="90">
        <f t="shared" si="8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90"/>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91"/>
        <v>0.51249999999999996</v>
      </c>
      <c r="K451" s="186">
        <f>SUMIFS(Table1[Horas efetivas],Table1[Tabela],Plano_V3!E451,Table1[Campo],Plano_V3!F451)</f>
        <v>4.0999999999999996</v>
      </c>
      <c r="L451" s="186">
        <f t="shared" si="92"/>
        <v>0.51249999999999996</v>
      </c>
      <c r="M451" s="180"/>
      <c r="N451" s="180">
        <f t="shared" si="93"/>
        <v>1</v>
      </c>
      <c r="O451" s="180">
        <f t="shared" si="77"/>
        <v>1</v>
      </c>
      <c r="P451" s="87" t="s">
        <v>312</v>
      </c>
      <c r="Q451" s="90">
        <f t="shared" si="8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90"/>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91"/>
        <v>0.51249999999999996</v>
      </c>
      <c r="K452" s="186">
        <f>SUMIFS(Table1[Horas efetivas],Table1[Tabela],Plano_V3!E452,Table1[Campo],Plano_V3!F452)</f>
        <v>4.0999999999999996</v>
      </c>
      <c r="L452" s="186">
        <f t="shared" si="92"/>
        <v>0.51249999999999996</v>
      </c>
      <c r="M452" s="180"/>
      <c r="N452" s="180">
        <f t="shared" si="93"/>
        <v>1</v>
      </c>
      <c r="O452" s="180">
        <f t="shared" si="77"/>
        <v>1</v>
      </c>
      <c r="P452" s="87" t="s">
        <v>312</v>
      </c>
      <c r="Q452" s="90">
        <f t="shared" si="85"/>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90"/>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91"/>
        <v>0.51249999999999996</v>
      </c>
      <c r="K453" s="186">
        <f>SUMIFS(Table1[Horas efetivas],Table1[Tabela],Plano_V3!E453,Table1[Campo],Plano_V3!F453)</f>
        <v>4.0999999999999996</v>
      </c>
      <c r="L453" s="186">
        <f t="shared" si="92"/>
        <v>0.51249999999999996</v>
      </c>
      <c r="M453" s="180"/>
      <c r="N453" s="180">
        <f t="shared" si="93"/>
        <v>1</v>
      </c>
      <c r="O453" s="180">
        <f t="shared" si="77"/>
        <v>1</v>
      </c>
      <c r="P453" s="87" t="s">
        <v>312</v>
      </c>
      <c r="Q453" s="90">
        <f t="shared" si="85"/>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90"/>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91"/>
        <v>1.0125</v>
      </c>
      <c r="K454" s="186">
        <f>SUMIFS(Table1[Horas efetivas],Table1[Tabela],Plano_V3!E454,Table1[Campo],Plano_V3!F454)</f>
        <v>8.1</v>
      </c>
      <c r="L454" s="186">
        <f t="shared" si="92"/>
        <v>1.0125</v>
      </c>
      <c r="M454" s="180"/>
      <c r="N454" s="180">
        <f t="shared" si="93"/>
        <v>1</v>
      </c>
      <c r="O454" s="180">
        <f t="shared" si="77"/>
        <v>1</v>
      </c>
      <c r="P454" s="87" t="s">
        <v>312</v>
      </c>
      <c r="Q454" s="90">
        <f t="shared" si="85"/>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90"/>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91"/>
        <v>1.0125</v>
      </c>
      <c r="K455" s="186">
        <f>SUMIFS(Table1[Horas efetivas],Table1[Tabela],Plano_V3!E455,Table1[Campo],Plano_V3!F455)</f>
        <v>8.1</v>
      </c>
      <c r="L455" s="186">
        <f t="shared" si="92"/>
        <v>1.0125</v>
      </c>
      <c r="M455" s="180"/>
      <c r="N455" s="180">
        <f t="shared" si="93"/>
        <v>1</v>
      </c>
      <c r="O455" s="180">
        <f t="shared" si="77"/>
        <v>1</v>
      </c>
      <c r="P455" s="87" t="s">
        <v>312</v>
      </c>
      <c r="Q455" s="90">
        <f t="shared" si="85"/>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90"/>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91"/>
        <v>0.51249999999999996</v>
      </c>
      <c r="K456" s="186">
        <f>SUMIFS(Table1[Horas efetivas],Table1[Tabela],Plano_V3!E456,Table1[Campo],Plano_V3!F456)</f>
        <v>4.0999999999999996</v>
      </c>
      <c r="L456" s="186">
        <f t="shared" si="92"/>
        <v>0.51249999999999996</v>
      </c>
      <c r="M456" s="180"/>
      <c r="N456" s="180">
        <f t="shared" si="93"/>
        <v>1</v>
      </c>
      <c r="O456" s="180">
        <f t="shared" si="77"/>
        <v>1</v>
      </c>
      <c r="P456" s="87" t="s">
        <v>312</v>
      </c>
      <c r="Q456" s="90">
        <f t="shared" si="8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90"/>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91"/>
        <v>0.51249999999999996</v>
      </c>
      <c r="K457" s="186">
        <f>SUMIFS(Table1[Horas efetivas],Table1[Tabela],Plano_V3!E457,Table1[Campo],Plano_V3!F457)</f>
        <v>4.0999999999999996</v>
      </c>
      <c r="L457" s="186">
        <f t="shared" si="92"/>
        <v>0.51249999999999996</v>
      </c>
      <c r="M457" s="180"/>
      <c r="N457" s="180">
        <f t="shared" si="93"/>
        <v>1</v>
      </c>
      <c r="O457" s="180">
        <f t="shared" si="77"/>
        <v>1</v>
      </c>
      <c r="P457" s="87" t="s">
        <v>312</v>
      </c>
      <c r="Q457" s="90">
        <f t="shared" si="8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90"/>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91"/>
        <v>0.51249999999999996</v>
      </c>
      <c r="K458" s="186">
        <f>SUMIFS(Table1[Horas efetivas],Table1[Tabela],Plano_V3!E458,Table1[Campo],Plano_V3!F458)</f>
        <v>4.0999999999999996</v>
      </c>
      <c r="L458" s="186">
        <f t="shared" si="92"/>
        <v>0.51249999999999996</v>
      </c>
      <c r="M458" s="180"/>
      <c r="N458" s="180">
        <f t="shared" si="93"/>
        <v>1</v>
      </c>
      <c r="O458" s="180">
        <f t="shared" si="77"/>
        <v>1</v>
      </c>
      <c r="P458" s="87" t="s">
        <v>312</v>
      </c>
      <c r="Q458" s="90">
        <f t="shared" si="8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90"/>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91"/>
        <v>0.51249999999999996</v>
      </c>
      <c r="K459" s="186">
        <f>SUMIFS(Table1[Horas efetivas],Table1[Tabela],Plano_V3!E459,Table1[Campo],Plano_V3!F459)</f>
        <v>4.0999999999999996</v>
      </c>
      <c r="L459" s="186">
        <f t="shared" si="92"/>
        <v>0.51249999999999996</v>
      </c>
      <c r="M459" s="180"/>
      <c r="N459" s="180">
        <f t="shared" si="93"/>
        <v>1</v>
      </c>
      <c r="O459" s="180">
        <f t="shared" si="77"/>
        <v>1</v>
      </c>
      <c r="P459" s="87" t="s">
        <v>312</v>
      </c>
      <c r="Q459" s="90">
        <f t="shared" si="8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90"/>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91"/>
        <v>1</v>
      </c>
      <c r="K460" s="186">
        <f>SUMIFS(Table1[Horas efetivas],Table1[Tabela],Plano_V3!E460,Table1[Campo],Plano_V3!F460)</f>
        <v>8</v>
      </c>
      <c r="L460" s="186">
        <f t="shared" si="92"/>
        <v>1</v>
      </c>
      <c r="M460" s="180"/>
      <c r="N460" s="180">
        <f t="shared" si="93"/>
        <v>1</v>
      </c>
      <c r="O460" s="180">
        <f t="shared" si="77"/>
        <v>1</v>
      </c>
      <c r="P460" s="87" t="s">
        <v>326</v>
      </c>
      <c r="Q460" s="90">
        <f t="shared" si="85"/>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90"/>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91"/>
        <v>2.0125000000000002</v>
      </c>
      <c r="K461" s="186">
        <f>SUMIFS(Table1[Horas efetivas],Table1[Tabela],Plano_V3!E461,Table1[Campo],Plano_V3!F461)</f>
        <v>16.100000000000001</v>
      </c>
      <c r="L461" s="186">
        <f t="shared" si="92"/>
        <v>2.0125000000000002</v>
      </c>
      <c r="M461" s="180"/>
      <c r="N461" s="180">
        <f t="shared" si="93"/>
        <v>1</v>
      </c>
      <c r="O461" s="180">
        <f t="shared" si="77"/>
        <v>1</v>
      </c>
      <c r="P461" s="87" t="s">
        <v>326</v>
      </c>
      <c r="Q461" s="90">
        <f t="shared" si="85"/>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90"/>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91"/>
        <v>2.0125000000000002</v>
      </c>
      <c r="K462" s="186">
        <f>SUMIFS(Table1[Horas efetivas],Table1[Tabela],Plano_V3!E462,Table1[Campo],Plano_V3!F462)</f>
        <v>16.100000000000001</v>
      </c>
      <c r="L462" s="186">
        <f t="shared" si="92"/>
        <v>2.0125000000000002</v>
      </c>
      <c r="M462" s="180"/>
      <c r="N462" s="180">
        <f t="shared" si="93"/>
        <v>1</v>
      </c>
      <c r="O462" s="180">
        <f t="shared" si="77"/>
        <v>1</v>
      </c>
      <c r="P462" s="87" t="s">
        <v>326</v>
      </c>
      <c r="Q462" s="90">
        <f t="shared" si="85"/>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90"/>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91"/>
        <v>2.0125000000000002</v>
      </c>
      <c r="K463" s="186">
        <f>SUMIFS(Table1[Horas efetivas],Table1[Tabela],Plano_V3!E463,Table1[Campo],Plano_V3!F463)</f>
        <v>16.100000000000001</v>
      </c>
      <c r="L463" s="186">
        <f t="shared" si="92"/>
        <v>2.0125000000000002</v>
      </c>
      <c r="M463" s="180"/>
      <c r="N463" s="180">
        <f t="shared" si="93"/>
        <v>1</v>
      </c>
      <c r="O463" s="180">
        <f t="shared" si="77"/>
        <v>1</v>
      </c>
      <c r="P463" s="87" t="s">
        <v>326</v>
      </c>
      <c r="Q463" s="90">
        <f t="shared" si="85"/>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90"/>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91"/>
        <v>2.0125000000000002</v>
      </c>
      <c r="K464" s="186">
        <f>SUMIFS(Table1[Horas efetivas],Table1[Tabela],Plano_V3!E464,Table1[Campo],Plano_V3!F464)</f>
        <v>16.100000000000001</v>
      </c>
      <c r="L464" s="186">
        <f t="shared" si="92"/>
        <v>2.0125000000000002</v>
      </c>
      <c r="M464" s="180"/>
      <c r="N464" s="180">
        <f t="shared" si="93"/>
        <v>1</v>
      </c>
      <c r="O464" s="180">
        <f t="shared" si="77"/>
        <v>1</v>
      </c>
      <c r="P464" s="87" t="s">
        <v>326</v>
      </c>
      <c r="Q464" s="90">
        <f t="shared" si="85"/>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90"/>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91"/>
        <v>2.0125000000000002</v>
      </c>
      <c r="K465" s="186">
        <f>SUMIFS(Table1[Horas efetivas],Table1[Tabela],Plano_V3!E465,Table1[Campo],Plano_V3!F465)</f>
        <v>16.100000000000001</v>
      </c>
      <c r="L465" s="186">
        <f t="shared" si="92"/>
        <v>2.0125000000000002</v>
      </c>
      <c r="M465" s="180"/>
      <c r="N465" s="180">
        <f t="shared" si="93"/>
        <v>1</v>
      </c>
      <c r="O465" s="180">
        <f t="shared" si="77"/>
        <v>1</v>
      </c>
      <c r="P465" s="87" t="s">
        <v>326</v>
      </c>
      <c r="Q465" s="90">
        <f t="shared" si="85"/>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90"/>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91"/>
        <v>2.0125000000000002</v>
      </c>
      <c r="K466" s="186">
        <f>SUMIFS(Table1[Horas efetivas],Table1[Tabela],Plano_V3!E466,Table1[Campo],Plano_V3!F466)</f>
        <v>16.100000000000001</v>
      </c>
      <c r="L466" s="186">
        <f t="shared" si="92"/>
        <v>2.0125000000000002</v>
      </c>
      <c r="M466" s="180"/>
      <c r="N466" s="180">
        <f t="shared" si="93"/>
        <v>1</v>
      </c>
      <c r="O466" s="180">
        <f t="shared" si="77"/>
        <v>1</v>
      </c>
      <c r="P466" s="87" t="s">
        <v>326</v>
      </c>
      <c r="Q466" s="90">
        <f t="shared" si="85"/>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90"/>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91"/>
        <v>2.0125000000000002</v>
      </c>
      <c r="K467" s="186">
        <f>SUMIFS(Table1[Horas efetivas],Table1[Tabela],Plano_V3!E467,Table1[Campo],Plano_V3!F467)</f>
        <v>16.100000000000001</v>
      </c>
      <c r="L467" s="186">
        <f t="shared" si="92"/>
        <v>2.0125000000000002</v>
      </c>
      <c r="M467" s="180"/>
      <c r="N467" s="180">
        <f t="shared" si="93"/>
        <v>1</v>
      </c>
      <c r="O467" s="180">
        <f t="shared" si="77"/>
        <v>1</v>
      </c>
      <c r="P467" s="87" t="s">
        <v>326</v>
      </c>
      <c r="Q467" s="90">
        <f t="shared" si="8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90"/>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91"/>
        <v>2.0125000000000002</v>
      </c>
      <c r="K468" s="186">
        <f>SUMIFS(Table1[Horas efetivas],Table1[Tabela],Plano_V3!E468,Table1[Campo],Plano_V3!F468)</f>
        <v>16.100000000000001</v>
      </c>
      <c r="L468" s="186">
        <f t="shared" si="92"/>
        <v>2.0125000000000002</v>
      </c>
      <c r="M468" s="180"/>
      <c r="N468" s="180">
        <f t="shared" si="93"/>
        <v>1</v>
      </c>
      <c r="O468" s="180">
        <f t="shared" si="77"/>
        <v>1</v>
      </c>
      <c r="P468" s="87" t="s">
        <v>326</v>
      </c>
      <c r="Q468" s="90">
        <f t="shared" si="8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90"/>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91"/>
        <v>2.0125000000000002</v>
      </c>
      <c r="K469" s="186">
        <f>SUMIFS(Table1[Horas efetivas],Table1[Tabela],Plano_V3!E469,Table1[Campo],Plano_V3!F469)</f>
        <v>16.100000000000001</v>
      </c>
      <c r="L469" s="186">
        <f t="shared" si="92"/>
        <v>2.0125000000000002</v>
      </c>
      <c r="M469" s="180"/>
      <c r="N469" s="180">
        <f t="shared" si="93"/>
        <v>1</v>
      </c>
      <c r="O469" s="180">
        <f t="shared" si="77"/>
        <v>1</v>
      </c>
      <c r="P469" s="87" t="s">
        <v>326</v>
      </c>
      <c r="Q469" s="90">
        <f t="shared" si="8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90"/>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91"/>
        <v>2.0125000000000002</v>
      </c>
      <c r="K470" s="186">
        <f>SUMIFS(Table1[Horas efetivas],Table1[Tabela],Plano_V3!E470,Table1[Campo],Plano_V3!F470)</f>
        <v>16.100000000000001</v>
      </c>
      <c r="L470" s="186">
        <f t="shared" si="92"/>
        <v>2.0125000000000002</v>
      </c>
      <c r="M470" s="180"/>
      <c r="N470" s="180">
        <f t="shared" si="93"/>
        <v>1</v>
      </c>
      <c r="O470" s="180">
        <f t="shared" si="77"/>
        <v>1</v>
      </c>
      <c r="P470" s="87" t="s">
        <v>326</v>
      </c>
      <c r="Q470" s="90">
        <f t="shared" si="8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90"/>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91"/>
        <v>2.0125000000000002</v>
      </c>
      <c r="K471" s="186">
        <f>SUMIFS(Table1[Horas efetivas],Table1[Tabela],Plano_V3!E471,Table1[Campo],Plano_V3!F471)</f>
        <v>16.100000000000001</v>
      </c>
      <c r="L471" s="186">
        <f t="shared" si="92"/>
        <v>2.0125000000000002</v>
      </c>
      <c r="M471" s="180"/>
      <c r="N471" s="180">
        <f t="shared" si="93"/>
        <v>1</v>
      </c>
      <c r="O471" s="180">
        <f t="shared" si="77"/>
        <v>1</v>
      </c>
      <c r="P471" s="87" t="s">
        <v>326</v>
      </c>
      <c r="Q471" s="90">
        <f t="shared" si="8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90"/>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91"/>
        <v>2.0125000000000002</v>
      </c>
      <c r="K472" s="186">
        <f>SUMIFS(Table1[Horas efetivas],Table1[Tabela],Plano_V3!E472,Table1[Campo],Plano_V3!F472)</f>
        <v>16.100000000000001</v>
      </c>
      <c r="L472" s="186">
        <f t="shared" si="92"/>
        <v>2.0125000000000002</v>
      </c>
      <c r="M472" s="180"/>
      <c r="N472" s="180">
        <f t="shared" si="93"/>
        <v>1</v>
      </c>
      <c r="O472" s="180">
        <f t="shared" si="77"/>
        <v>1</v>
      </c>
      <c r="P472" s="87" t="s">
        <v>326</v>
      </c>
      <c r="Q472" s="90">
        <f t="shared" si="8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90"/>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91"/>
        <v>2.0125000000000002</v>
      </c>
      <c r="K473" s="186">
        <f>SUMIFS(Table1[Horas efetivas],Table1[Tabela],Plano_V3!E473,Table1[Campo],Plano_V3!F473)</f>
        <v>16.100000000000001</v>
      </c>
      <c r="L473" s="186">
        <f t="shared" si="92"/>
        <v>2.0125000000000002</v>
      </c>
      <c r="M473" s="180"/>
      <c r="N473" s="180">
        <f t="shared" si="93"/>
        <v>1</v>
      </c>
      <c r="O473" s="180">
        <f t="shared" si="77"/>
        <v>1</v>
      </c>
      <c r="P473" s="87" t="s">
        <v>326</v>
      </c>
      <c r="Q473" s="90">
        <f t="shared" si="8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ref="A474" si="94">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 t="shared" ref="J474" si="95">I474/8</f>
        <v>2.0125000000000002</v>
      </c>
      <c r="K474" s="186">
        <f>SUMIFS(Table1[Horas efetivas],Table1[Tabela],Plano_V3!E474,Table1[Campo],Plano_V3!F474)</f>
        <v>16.100000000000001</v>
      </c>
      <c r="L474" s="186">
        <f t="shared" ref="L474" si="96">K474/8</f>
        <v>2.0125000000000002</v>
      </c>
      <c r="M474" s="180"/>
      <c r="N474" s="180">
        <f t="shared" ref="N474" si="97">L474/J474</f>
        <v>1</v>
      </c>
      <c r="O474" s="180">
        <f t="shared" ref="O474" si="98">N474-M474</f>
        <v>1</v>
      </c>
      <c r="P474" s="87" t="s">
        <v>326</v>
      </c>
      <c r="Q474" s="90">
        <f t="shared" ref="Q474" si="99">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100">E475&amp;F475</f>
        <v>modesg_out_empr_info_nfinppc_trnvr_ttl_elgbl</v>
      </c>
      <c r="B475" s="67" t="s">
        <v>26</v>
      </c>
      <c r="C475" s="68" t="s">
        <v>310</v>
      </c>
      <c r="D475" s="64" t="s">
        <v>40</v>
      </c>
      <c r="E475" s="66" t="s">
        <v>325</v>
      </c>
      <c r="F475" s="64" t="s">
        <v>259</v>
      </c>
      <c r="G475" s="64" t="str">
        <f>INDEX(Auxiliar!$B$16:$B$24,MATCH(Plano_V3!H475,Auxiliar!$C$16:$C$24,0),1)</f>
        <v>1. Concluído</v>
      </c>
      <c r="H475" s="64">
        <f>VLOOKUP(A475,'Aux - pivots1'!$A:$B,2,0)</f>
        <v>1</v>
      </c>
      <c r="I475" s="186" t="e">
        <f>SUMIFS(Table1[Estimação (horas)],Table1[Tabela],Plano_V3!E475,Table1[Campo],Plano_V3!F475)</f>
        <v>#N/A</v>
      </c>
      <c r="J475" s="186" t="e">
        <f t="shared" ref="J475:J494" si="101">I475/8</f>
        <v>#N/A</v>
      </c>
      <c r="K475" s="186" t="e">
        <f>SUMIFS(Table1[Horas efetivas],Table1[Tabela],Plano_V3!E475,Table1[Campo],Plano_V3!F475)</f>
        <v>#N/A</v>
      </c>
      <c r="L475" s="186" t="e">
        <f t="shared" ref="L475:L494" si="102">K475/8</f>
        <v>#N/A</v>
      </c>
      <c r="M475" s="180"/>
      <c r="N475" s="180" t="e">
        <f t="shared" ref="N475:N494" si="103">L475/J475</f>
        <v>#N/A</v>
      </c>
      <c r="O475" s="180" t="e">
        <f t="shared" ref="O475:O494" si="104">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100"/>
        <v>modesg_out_empr_info_nfinppc_turnover_own_prfrmnce_algnd</v>
      </c>
      <c r="B476" s="67" t="s">
        <v>26</v>
      </c>
      <c r="C476" s="68" t="s">
        <v>310</v>
      </c>
      <c r="D476" s="64" t="s">
        <v>40</v>
      </c>
      <c r="E476" s="66" t="s">
        <v>325</v>
      </c>
      <c r="F476" s="64" t="s">
        <v>260</v>
      </c>
      <c r="G476" s="64" t="str">
        <f>INDEX(Auxiliar!$B$16:$B$24,MATCH(Plano_V3!H476,Auxiliar!$C$16:$C$24,0),1)</f>
        <v>1. Concluído</v>
      </c>
      <c r="H476" s="64">
        <f>VLOOKUP(A476,'Aux - pivots1'!$A:$B,2,0)</f>
        <v>1</v>
      </c>
      <c r="I476" s="186" t="e">
        <f>SUMIFS(Table1[Estimação (horas)],Table1[Tabela],Plano_V3!E476,Table1[Campo],Plano_V3!F476)</f>
        <v>#N/A</v>
      </c>
      <c r="J476" s="186" t="e">
        <f t="shared" si="101"/>
        <v>#N/A</v>
      </c>
      <c r="K476" s="186" t="e">
        <f>SUMIFS(Table1[Horas efetivas],Table1[Tabela],Plano_V3!E476,Table1[Campo],Plano_V3!F476)</f>
        <v>#N/A</v>
      </c>
      <c r="L476" s="186" t="e">
        <f t="shared" si="102"/>
        <v>#N/A</v>
      </c>
      <c r="M476" s="180"/>
      <c r="N476" s="180" t="e">
        <f t="shared" si="103"/>
        <v>#N/A</v>
      </c>
      <c r="O476" s="180" t="e">
        <f t="shared" si="104"/>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100"/>
        <v>modesg_out_empr_info_nfinppc_capex_ttl_elgbl</v>
      </c>
      <c r="B477" s="67" t="s">
        <v>26</v>
      </c>
      <c r="C477" s="68" t="s">
        <v>310</v>
      </c>
      <c r="D477" s="64" t="s">
        <v>40</v>
      </c>
      <c r="E477" s="66" t="s">
        <v>325</v>
      </c>
      <c r="F477" s="64" t="s">
        <v>261</v>
      </c>
      <c r="G477" s="64" t="str">
        <f>INDEX(Auxiliar!$B$16:$B$24,MATCH(Plano_V3!H477,Auxiliar!$C$16:$C$24,0),1)</f>
        <v>1. Concluído</v>
      </c>
      <c r="H477" s="64">
        <f>VLOOKUP(A477,'Aux - pivots1'!$A:$B,2,0)</f>
        <v>1</v>
      </c>
      <c r="I477" s="186" t="e">
        <f>SUMIFS(Table1[Estimação (horas)],Table1[Tabela],Plano_V3!E477,Table1[Campo],Plano_V3!F477)</f>
        <v>#N/A</v>
      </c>
      <c r="J477" s="186" t="e">
        <f t="shared" si="101"/>
        <v>#N/A</v>
      </c>
      <c r="K477" s="186" t="e">
        <f>SUMIFS(Table1[Horas efetivas],Table1[Tabela],Plano_V3!E477,Table1[Campo],Plano_V3!F477)</f>
        <v>#N/A</v>
      </c>
      <c r="L477" s="186" t="e">
        <f t="shared" si="102"/>
        <v>#N/A</v>
      </c>
      <c r="M477" s="180"/>
      <c r="N477" s="180" t="e">
        <f t="shared" si="103"/>
        <v>#N/A</v>
      </c>
      <c r="O477" s="180" t="e">
        <f t="shared" si="104"/>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100"/>
        <v>modesg_out_empr_info_nfinppc_capex_own_prfrmnce_algnd</v>
      </c>
      <c r="B478" s="67" t="s">
        <v>26</v>
      </c>
      <c r="C478" s="68" t="s">
        <v>310</v>
      </c>
      <c r="D478" s="64" t="s">
        <v>40</v>
      </c>
      <c r="E478" s="66" t="s">
        <v>325</v>
      </c>
      <c r="F478" s="64" t="s">
        <v>262</v>
      </c>
      <c r="G478" s="64" t="str">
        <f>INDEX(Auxiliar!$B$16:$B$24,MATCH(Plano_V3!H478,Auxiliar!$C$16:$C$24,0),1)</f>
        <v>1. Concluído</v>
      </c>
      <c r="H478" s="64">
        <f>VLOOKUP(A478,'Aux - pivots1'!$A:$B,2,0)</f>
        <v>1</v>
      </c>
      <c r="I478" s="186" t="e">
        <f>SUMIFS(Table1[Estimação (horas)],Table1[Tabela],Plano_V3!E478,Table1[Campo],Plano_V3!F478)</f>
        <v>#N/A</v>
      </c>
      <c r="J478" s="186" t="e">
        <f t="shared" si="101"/>
        <v>#N/A</v>
      </c>
      <c r="K478" s="186" t="e">
        <f>SUMIFS(Table1[Horas efetivas],Table1[Tabela],Plano_V3!E478,Table1[Campo],Plano_V3!F478)</f>
        <v>#N/A</v>
      </c>
      <c r="L478" s="186" t="e">
        <f t="shared" si="102"/>
        <v>#N/A</v>
      </c>
      <c r="M478" s="180"/>
      <c r="N478" s="180" t="e">
        <f t="shared" si="103"/>
        <v>#N/A</v>
      </c>
      <c r="O478" s="180" t="e">
        <f t="shared" si="104"/>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100"/>
        <v>modesg_out_empr_info_nfinbio_trnvr_ttl_elgbl</v>
      </c>
      <c r="B479" s="67" t="s">
        <v>26</v>
      </c>
      <c r="C479" s="68" t="s">
        <v>310</v>
      </c>
      <c r="D479" s="64" t="s">
        <v>40</v>
      </c>
      <c r="E479" s="66" t="s">
        <v>325</v>
      </c>
      <c r="F479" s="64" t="s">
        <v>263</v>
      </c>
      <c r="G479" s="64" t="str">
        <f>INDEX(Auxiliar!$B$16:$B$24,MATCH(Plano_V3!H479,Auxiliar!$C$16:$C$24,0),1)</f>
        <v>1. Concluído</v>
      </c>
      <c r="H479" s="64">
        <f>VLOOKUP(A479,'Aux - pivots1'!$A:$B,2,0)</f>
        <v>1</v>
      </c>
      <c r="I479" s="186" t="e">
        <f>SUMIFS(Table1[Estimação (horas)],Table1[Tabela],Plano_V3!E479,Table1[Campo],Plano_V3!F479)</f>
        <v>#N/A</v>
      </c>
      <c r="J479" s="186" t="e">
        <f t="shared" si="101"/>
        <v>#N/A</v>
      </c>
      <c r="K479" s="186" t="e">
        <f>SUMIFS(Table1[Horas efetivas],Table1[Tabela],Plano_V3!E479,Table1[Campo],Plano_V3!F479)</f>
        <v>#N/A</v>
      </c>
      <c r="L479" s="186" t="e">
        <f t="shared" si="102"/>
        <v>#N/A</v>
      </c>
      <c r="M479" s="180"/>
      <c r="N479" s="180" t="e">
        <f t="shared" si="103"/>
        <v>#N/A</v>
      </c>
      <c r="O479" s="180" t="e">
        <f t="shared" si="104"/>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100"/>
        <v>modesg_out_empr_info_nfinbio_turnover_own_prfrmnce_algnd</v>
      </c>
      <c r="B480" s="67" t="s">
        <v>26</v>
      </c>
      <c r="C480" s="68" t="s">
        <v>310</v>
      </c>
      <c r="D480" s="64" t="s">
        <v>40</v>
      </c>
      <c r="E480" s="66" t="s">
        <v>325</v>
      </c>
      <c r="F480" s="64" t="s">
        <v>264</v>
      </c>
      <c r="G480" s="64" t="str">
        <f>INDEX(Auxiliar!$B$16:$B$24,MATCH(Plano_V3!H480,Auxiliar!$C$16:$C$24,0),1)</f>
        <v>1. Concluído</v>
      </c>
      <c r="H480" s="64">
        <f>VLOOKUP(A480,'Aux - pivots1'!$A:$B,2,0)</f>
        <v>1</v>
      </c>
      <c r="I480" s="186" t="e">
        <f>SUMIFS(Table1[Estimação (horas)],Table1[Tabela],Plano_V3!E480,Table1[Campo],Plano_V3!F480)</f>
        <v>#N/A</v>
      </c>
      <c r="J480" s="186" t="e">
        <f t="shared" si="101"/>
        <v>#N/A</v>
      </c>
      <c r="K480" s="186" t="e">
        <f>SUMIFS(Table1[Horas efetivas],Table1[Tabela],Plano_V3!E480,Table1[Campo],Plano_V3!F480)</f>
        <v>#N/A</v>
      </c>
      <c r="L480" s="186" t="e">
        <f t="shared" si="102"/>
        <v>#N/A</v>
      </c>
      <c r="M480" s="180"/>
      <c r="N480" s="180" t="e">
        <f t="shared" si="103"/>
        <v>#N/A</v>
      </c>
      <c r="O480" s="180" t="e">
        <f t="shared" si="104"/>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100"/>
        <v>modesg_out_empr_info_nfinbio_capex_ttl_elgbl</v>
      </c>
      <c r="B481" s="67" t="s">
        <v>26</v>
      </c>
      <c r="C481" s="68" t="s">
        <v>310</v>
      </c>
      <c r="D481" s="64" t="s">
        <v>40</v>
      </c>
      <c r="E481" s="66" t="s">
        <v>325</v>
      </c>
      <c r="F481" s="64" t="s">
        <v>265</v>
      </c>
      <c r="G481" s="64" t="str">
        <f>INDEX(Auxiliar!$B$16:$B$24,MATCH(Plano_V3!H481,Auxiliar!$C$16:$C$24,0),1)</f>
        <v>1. Concluído</v>
      </c>
      <c r="H481" s="64">
        <f>VLOOKUP(A481,'Aux - pivots1'!$A:$B,2,0)</f>
        <v>1</v>
      </c>
      <c r="I481" s="186" t="e">
        <f>SUMIFS(Table1[Estimação (horas)],Table1[Tabela],Plano_V3!E481,Table1[Campo],Plano_V3!F481)</f>
        <v>#N/A</v>
      </c>
      <c r="J481" s="186" t="e">
        <f t="shared" si="101"/>
        <v>#N/A</v>
      </c>
      <c r="K481" s="186" t="e">
        <f>SUMIFS(Table1[Horas efetivas],Table1[Tabela],Plano_V3!E481,Table1[Campo],Plano_V3!F481)</f>
        <v>#N/A</v>
      </c>
      <c r="L481" s="186" t="e">
        <f t="shared" si="102"/>
        <v>#N/A</v>
      </c>
      <c r="M481" s="180"/>
      <c r="N481" s="180" t="e">
        <f t="shared" si="103"/>
        <v>#N/A</v>
      </c>
      <c r="O481" s="180" t="e">
        <f t="shared" si="104"/>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100"/>
        <v>modesg_out_empr_info_nfinbio_capex_own_prfrmnce_algnd</v>
      </c>
      <c r="B482" s="67" t="s">
        <v>26</v>
      </c>
      <c r="C482" s="68" t="s">
        <v>310</v>
      </c>
      <c r="D482" s="64" t="s">
        <v>40</v>
      </c>
      <c r="E482" s="66" t="s">
        <v>325</v>
      </c>
      <c r="F482" s="64" t="s">
        <v>266</v>
      </c>
      <c r="G482" s="64" t="str">
        <f>INDEX(Auxiliar!$B$16:$B$24,MATCH(Plano_V3!H482,Auxiliar!$C$16:$C$24,0),1)</f>
        <v>1. Concluído</v>
      </c>
      <c r="H482" s="64">
        <f>VLOOKUP(A482,'Aux - pivots1'!$A:$B,2,0)</f>
        <v>1</v>
      </c>
      <c r="I482" s="186" t="e">
        <f>SUMIFS(Table1[Estimação (horas)],Table1[Tabela],Plano_V3!E482,Table1[Campo],Plano_V3!F482)</f>
        <v>#N/A</v>
      </c>
      <c r="J482" s="186" t="e">
        <f t="shared" si="101"/>
        <v>#N/A</v>
      </c>
      <c r="K482" s="186" t="e">
        <f>SUMIFS(Table1[Horas efetivas],Table1[Tabela],Plano_V3!E482,Table1[Campo],Plano_V3!F482)</f>
        <v>#N/A</v>
      </c>
      <c r="L482" s="186" t="e">
        <f t="shared" si="102"/>
        <v>#N/A</v>
      </c>
      <c r="M482" s="180"/>
      <c r="N482" s="180" t="e">
        <f t="shared" si="103"/>
        <v>#N/A</v>
      </c>
      <c r="O482" s="180" t="e">
        <f t="shared" si="104"/>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100"/>
        <v>modesg_out_empr_info_nfinwtr_trnvr_ttl_elgbl</v>
      </c>
      <c r="B483" s="67" t="s">
        <v>26</v>
      </c>
      <c r="C483" s="68" t="s">
        <v>310</v>
      </c>
      <c r="D483" s="64" t="s">
        <v>40</v>
      </c>
      <c r="E483" s="66" t="s">
        <v>325</v>
      </c>
      <c r="F483" s="64" t="s">
        <v>267</v>
      </c>
      <c r="G483" s="64" t="str">
        <f>INDEX(Auxiliar!$B$16:$B$24,MATCH(Plano_V3!H483,Auxiliar!$C$16:$C$24,0),1)</f>
        <v>1. Concluído</v>
      </c>
      <c r="H483" s="64">
        <f>VLOOKUP(A483,'Aux - pivots1'!$A:$B,2,0)</f>
        <v>1</v>
      </c>
      <c r="I483" s="186" t="e">
        <f>SUMIFS(Table1[Estimação (horas)],Table1[Tabela],Plano_V3!E483,Table1[Campo],Plano_V3!F483)</f>
        <v>#N/A</v>
      </c>
      <c r="J483" s="186" t="e">
        <f t="shared" si="101"/>
        <v>#N/A</v>
      </c>
      <c r="K483" s="186" t="e">
        <f>SUMIFS(Table1[Horas efetivas],Table1[Tabela],Plano_V3!E483,Table1[Campo],Plano_V3!F483)</f>
        <v>#N/A</v>
      </c>
      <c r="L483" s="186" t="e">
        <f t="shared" si="102"/>
        <v>#N/A</v>
      </c>
      <c r="M483" s="180"/>
      <c r="N483" s="180" t="e">
        <f t="shared" si="103"/>
        <v>#N/A</v>
      </c>
      <c r="O483" s="180" t="e">
        <f t="shared" si="104"/>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100"/>
        <v>modesg_out_empr_info_nfinwtr_trnvr_enblng_alignd</v>
      </c>
      <c r="B484" s="67" t="s">
        <v>26</v>
      </c>
      <c r="C484" s="68" t="s">
        <v>310</v>
      </c>
      <c r="D484" s="64" t="s">
        <v>40</v>
      </c>
      <c r="E484" s="66" t="s">
        <v>325</v>
      </c>
      <c r="F484" s="64" t="s">
        <v>268</v>
      </c>
      <c r="G484" s="64" t="str">
        <f>INDEX(Auxiliar!$B$16:$B$24,MATCH(Plano_V3!H484,Auxiliar!$C$16:$C$24,0),1)</f>
        <v>1. Concluído</v>
      </c>
      <c r="H484" s="64">
        <f>VLOOKUP(A484,'Aux - pivots1'!$A:$B,2,0)</f>
        <v>1</v>
      </c>
      <c r="I484" s="186" t="e">
        <f>SUMIFS(Table1[Estimação (horas)],Table1[Tabela],Plano_V3!E484,Table1[Campo],Plano_V3!F484)</f>
        <v>#N/A</v>
      </c>
      <c r="J484" s="186" t="e">
        <f t="shared" si="101"/>
        <v>#N/A</v>
      </c>
      <c r="K484" s="186" t="e">
        <f>SUMIFS(Table1[Horas efetivas],Table1[Tabela],Plano_V3!E484,Table1[Campo],Plano_V3!F484)</f>
        <v>#N/A</v>
      </c>
      <c r="L484" s="186" t="e">
        <f t="shared" si="102"/>
        <v>#N/A</v>
      </c>
      <c r="M484" s="180"/>
      <c r="N484" s="180" t="e">
        <f t="shared" si="103"/>
        <v>#N/A</v>
      </c>
      <c r="O484" s="180" t="e">
        <f t="shared" si="104"/>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100"/>
        <v>modesg_out_empr_info_nfinwtr_turnover_own_prfrmnce_algnd</v>
      </c>
      <c r="B485" s="67" t="s">
        <v>26</v>
      </c>
      <c r="C485" s="68" t="s">
        <v>310</v>
      </c>
      <c r="D485" s="64" t="s">
        <v>40</v>
      </c>
      <c r="E485" s="66" t="s">
        <v>325</v>
      </c>
      <c r="F485" s="64" t="s">
        <v>269</v>
      </c>
      <c r="G485" s="64" t="str">
        <f>INDEX(Auxiliar!$B$16:$B$24,MATCH(Plano_V3!H485,Auxiliar!$C$16:$C$24,0),1)</f>
        <v>1. Concluído</v>
      </c>
      <c r="H485" s="64">
        <f>VLOOKUP(A485,'Aux - pivots1'!$A:$B,2,0)</f>
        <v>1</v>
      </c>
      <c r="I485" s="186" t="e">
        <f>SUMIFS(Table1[Estimação (horas)],Table1[Tabela],Plano_V3!E485,Table1[Campo],Plano_V3!F485)</f>
        <v>#N/A</v>
      </c>
      <c r="J485" s="186" t="e">
        <f t="shared" si="101"/>
        <v>#N/A</v>
      </c>
      <c r="K485" s="186" t="e">
        <f>SUMIFS(Table1[Horas efetivas],Table1[Tabela],Plano_V3!E485,Table1[Campo],Plano_V3!F485)</f>
        <v>#N/A</v>
      </c>
      <c r="L485" s="186" t="e">
        <f t="shared" si="102"/>
        <v>#N/A</v>
      </c>
      <c r="M485" s="180"/>
      <c r="N485" s="180" t="e">
        <f t="shared" si="103"/>
        <v>#N/A</v>
      </c>
      <c r="O485" s="180" t="e">
        <f t="shared" si="10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100"/>
        <v>modesg_out_empr_info_nfinwtr_capex_ttl_elgbl</v>
      </c>
      <c r="B486" s="67" t="s">
        <v>26</v>
      </c>
      <c r="C486" s="68" t="s">
        <v>310</v>
      </c>
      <c r="D486" s="64" t="s">
        <v>40</v>
      </c>
      <c r="E486" s="66" t="s">
        <v>325</v>
      </c>
      <c r="F486" s="64" t="s">
        <v>270</v>
      </c>
      <c r="G486" s="64" t="str">
        <f>INDEX(Auxiliar!$B$16:$B$24,MATCH(Plano_V3!H486,Auxiliar!$C$16:$C$24,0),1)</f>
        <v>1. Concluído</v>
      </c>
      <c r="H486" s="64">
        <f>VLOOKUP(A486,'Aux - pivots1'!$A:$B,2,0)</f>
        <v>1</v>
      </c>
      <c r="I486" s="186" t="e">
        <f>SUMIFS(Table1[Estimação (horas)],Table1[Tabela],Plano_V3!E486,Table1[Campo],Plano_V3!F486)</f>
        <v>#N/A</v>
      </c>
      <c r="J486" s="186" t="e">
        <f t="shared" si="101"/>
        <v>#N/A</v>
      </c>
      <c r="K486" s="186" t="e">
        <f>SUMIFS(Table1[Horas efetivas],Table1[Tabela],Plano_V3!E486,Table1[Campo],Plano_V3!F486)</f>
        <v>#N/A</v>
      </c>
      <c r="L486" s="186" t="e">
        <f t="shared" si="102"/>
        <v>#N/A</v>
      </c>
      <c r="M486" s="180"/>
      <c r="N486" s="180" t="e">
        <f t="shared" si="103"/>
        <v>#N/A</v>
      </c>
      <c r="O486" s="180" t="e">
        <f t="shared" si="10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100"/>
        <v>modesg_out_empr_info_nfinwtr_capex_enblng_algnd</v>
      </c>
      <c r="B487" s="67" t="s">
        <v>26</v>
      </c>
      <c r="C487" s="68" t="s">
        <v>310</v>
      </c>
      <c r="D487" s="64" t="s">
        <v>40</v>
      </c>
      <c r="E487" s="66" t="s">
        <v>325</v>
      </c>
      <c r="F487" s="64" t="s">
        <v>271</v>
      </c>
      <c r="G487" s="64" t="str">
        <f>INDEX(Auxiliar!$B$16:$B$24,MATCH(Plano_V3!H487,Auxiliar!$C$16:$C$24,0),1)</f>
        <v>1. Concluído</v>
      </c>
      <c r="H487" s="64">
        <f>VLOOKUP(A487,'Aux - pivots1'!$A:$B,2,0)</f>
        <v>1</v>
      </c>
      <c r="I487" s="186" t="e">
        <f>SUMIFS(Table1[Estimação (horas)],Table1[Tabela],Plano_V3!E487,Table1[Campo],Plano_V3!F487)</f>
        <v>#N/A</v>
      </c>
      <c r="J487" s="186" t="e">
        <f t="shared" si="101"/>
        <v>#N/A</v>
      </c>
      <c r="K487" s="186" t="e">
        <f>SUMIFS(Table1[Horas efetivas],Table1[Tabela],Plano_V3!E487,Table1[Campo],Plano_V3!F487)</f>
        <v>#N/A</v>
      </c>
      <c r="L487" s="186" t="e">
        <f t="shared" si="102"/>
        <v>#N/A</v>
      </c>
      <c r="M487" s="180"/>
      <c r="N487" s="180" t="e">
        <f t="shared" si="103"/>
        <v>#N/A</v>
      </c>
      <c r="O487" s="180" t="e">
        <f t="shared" si="10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100"/>
        <v>modesg_out_empr_info_nfinwtr_capex_own_prfrmnce_algnd</v>
      </c>
      <c r="B488" s="67" t="s">
        <v>26</v>
      </c>
      <c r="C488" s="68" t="s">
        <v>310</v>
      </c>
      <c r="D488" s="64" t="s">
        <v>40</v>
      </c>
      <c r="E488" s="66" t="s">
        <v>325</v>
      </c>
      <c r="F488" s="64" t="s">
        <v>272</v>
      </c>
      <c r="G488" s="64" t="str">
        <f>INDEX(Auxiliar!$B$16:$B$24,MATCH(Plano_V3!H488,Auxiliar!$C$16:$C$24,0),1)</f>
        <v>1. Concluído</v>
      </c>
      <c r="H488" s="64">
        <f>VLOOKUP(A488,'Aux - pivots1'!$A:$B,2,0)</f>
        <v>1</v>
      </c>
      <c r="I488" s="186" t="e">
        <f>SUMIFS(Table1[Estimação (horas)],Table1[Tabela],Plano_V3!E488,Table1[Campo],Plano_V3!F488)</f>
        <v>#N/A</v>
      </c>
      <c r="J488" s="186" t="e">
        <f t="shared" si="101"/>
        <v>#N/A</v>
      </c>
      <c r="K488" s="186" t="e">
        <f>SUMIFS(Table1[Horas efetivas],Table1[Tabela],Plano_V3!E488,Table1[Campo],Plano_V3!F488)</f>
        <v>#N/A</v>
      </c>
      <c r="L488" s="186" t="e">
        <f t="shared" si="102"/>
        <v>#N/A</v>
      </c>
      <c r="M488" s="180"/>
      <c r="N488" s="180" t="e">
        <f t="shared" si="103"/>
        <v>#N/A</v>
      </c>
      <c r="O488" s="180" t="e">
        <f t="shared" si="10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100"/>
        <v>modesg_out_empr_info_nfince_trnvr_ttl_elgbl</v>
      </c>
      <c r="B489" s="67" t="s">
        <v>26</v>
      </c>
      <c r="C489" s="68" t="s">
        <v>310</v>
      </c>
      <c r="D489" s="64" t="s">
        <v>40</v>
      </c>
      <c r="E489" s="66" t="s">
        <v>325</v>
      </c>
      <c r="F489" s="64" t="s">
        <v>273</v>
      </c>
      <c r="G489" s="64" t="str">
        <f>INDEX(Auxiliar!$B$16:$B$24,MATCH(Plano_V3!H489,Auxiliar!$C$16:$C$24,0),1)</f>
        <v>1. Concluído</v>
      </c>
      <c r="H489" s="64">
        <f>VLOOKUP(A489,'Aux - pivots1'!$A:$B,2,0)</f>
        <v>1</v>
      </c>
      <c r="I489" s="186" t="e">
        <f>SUMIFS(Table1[Estimação (horas)],Table1[Tabela],Plano_V3!E489,Table1[Campo],Plano_V3!F489)</f>
        <v>#N/A</v>
      </c>
      <c r="J489" s="186" t="e">
        <f t="shared" si="101"/>
        <v>#N/A</v>
      </c>
      <c r="K489" s="186" t="e">
        <f>SUMIFS(Table1[Horas efetivas],Table1[Tabela],Plano_V3!E489,Table1[Campo],Plano_V3!F489)</f>
        <v>#N/A</v>
      </c>
      <c r="L489" s="186" t="e">
        <f t="shared" si="102"/>
        <v>#N/A</v>
      </c>
      <c r="M489" s="180"/>
      <c r="N489" s="180" t="e">
        <f t="shared" si="103"/>
        <v>#N/A</v>
      </c>
      <c r="O489" s="180" t="e">
        <f t="shared" si="10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100"/>
        <v>modesg_out_empr_info_nfince_trnvr_enblng_alignd</v>
      </c>
      <c r="B490" s="67" t="s">
        <v>26</v>
      </c>
      <c r="C490" s="68" t="s">
        <v>310</v>
      </c>
      <c r="D490" s="64" t="s">
        <v>40</v>
      </c>
      <c r="E490" s="66" t="s">
        <v>325</v>
      </c>
      <c r="F490" s="64" t="s">
        <v>274</v>
      </c>
      <c r="G490" s="64" t="str">
        <f>INDEX(Auxiliar!$B$16:$B$24,MATCH(Plano_V3!H490,Auxiliar!$C$16:$C$24,0),1)</f>
        <v>1. Concluído</v>
      </c>
      <c r="H490" s="64">
        <f>VLOOKUP(A490,'Aux - pivots1'!$A:$B,2,0)</f>
        <v>1</v>
      </c>
      <c r="I490" s="186" t="e">
        <f>SUMIFS(Table1[Estimação (horas)],Table1[Tabela],Plano_V3!E490,Table1[Campo],Plano_V3!F490)</f>
        <v>#N/A</v>
      </c>
      <c r="J490" s="186" t="e">
        <f t="shared" si="101"/>
        <v>#N/A</v>
      </c>
      <c r="K490" s="186" t="e">
        <f>SUMIFS(Table1[Horas efetivas],Table1[Tabela],Plano_V3!E490,Table1[Campo],Plano_V3!F490)</f>
        <v>#N/A</v>
      </c>
      <c r="L490" s="186" t="e">
        <f t="shared" si="102"/>
        <v>#N/A</v>
      </c>
      <c r="M490" s="180"/>
      <c r="N490" s="180" t="e">
        <f t="shared" si="103"/>
        <v>#N/A</v>
      </c>
      <c r="O490" s="180" t="e">
        <f t="shared" si="10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100"/>
        <v>modesg_out_empr_info_nfince_turnover_own_prfrmnce_algnd</v>
      </c>
      <c r="B491" s="67" t="s">
        <v>26</v>
      </c>
      <c r="C491" s="68" t="s">
        <v>310</v>
      </c>
      <c r="D491" s="64" t="s">
        <v>40</v>
      </c>
      <c r="E491" s="66" t="s">
        <v>325</v>
      </c>
      <c r="F491" s="64" t="s">
        <v>275</v>
      </c>
      <c r="G491" s="64" t="str">
        <f>INDEX(Auxiliar!$B$16:$B$24,MATCH(Plano_V3!H491,Auxiliar!$C$16:$C$24,0),1)</f>
        <v>1. Concluído</v>
      </c>
      <c r="H491" s="64">
        <f>VLOOKUP(A491,'Aux - pivots1'!$A:$B,2,0)</f>
        <v>1</v>
      </c>
      <c r="I491" s="186" t="e">
        <f>SUMIFS(Table1[Estimação (horas)],Table1[Tabela],Plano_V3!E491,Table1[Campo],Plano_V3!F491)</f>
        <v>#N/A</v>
      </c>
      <c r="J491" s="186" t="e">
        <f t="shared" si="101"/>
        <v>#N/A</v>
      </c>
      <c r="K491" s="186" t="e">
        <f>SUMIFS(Table1[Horas efetivas],Table1[Tabela],Plano_V3!E491,Table1[Campo],Plano_V3!F491)</f>
        <v>#N/A</v>
      </c>
      <c r="L491" s="186" t="e">
        <f t="shared" si="102"/>
        <v>#N/A</v>
      </c>
      <c r="M491" s="180"/>
      <c r="N491" s="180" t="e">
        <f t="shared" si="103"/>
        <v>#N/A</v>
      </c>
      <c r="O491" s="180" t="e">
        <f t="shared" si="10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100"/>
        <v>modesg_out_empr_info_nfince_capex_ttl_elgbl</v>
      </c>
      <c r="B492" s="67" t="s">
        <v>26</v>
      </c>
      <c r="C492" s="68" t="s">
        <v>310</v>
      </c>
      <c r="D492" s="64" t="s">
        <v>40</v>
      </c>
      <c r="E492" s="66" t="s">
        <v>325</v>
      </c>
      <c r="F492" s="64" t="s">
        <v>276</v>
      </c>
      <c r="G492" s="64" t="str">
        <f>INDEX(Auxiliar!$B$16:$B$24,MATCH(Plano_V3!H492,Auxiliar!$C$16:$C$24,0),1)</f>
        <v>1. Concluído</v>
      </c>
      <c r="H492" s="64">
        <f>VLOOKUP(A492,'Aux - pivots1'!$A:$B,2,0)</f>
        <v>1</v>
      </c>
      <c r="I492" s="186" t="e">
        <f>SUMIFS(Table1[Estimação (horas)],Table1[Tabela],Plano_V3!E492,Table1[Campo],Plano_V3!F492)</f>
        <v>#N/A</v>
      </c>
      <c r="J492" s="186" t="e">
        <f t="shared" si="101"/>
        <v>#N/A</v>
      </c>
      <c r="K492" s="186" t="e">
        <f>SUMIFS(Table1[Horas efetivas],Table1[Tabela],Plano_V3!E492,Table1[Campo],Plano_V3!F492)</f>
        <v>#N/A</v>
      </c>
      <c r="L492" s="186" t="e">
        <f t="shared" si="102"/>
        <v>#N/A</v>
      </c>
      <c r="M492" s="180"/>
      <c r="N492" s="180" t="e">
        <f t="shared" si="103"/>
        <v>#N/A</v>
      </c>
      <c r="O492" s="180" t="e">
        <f t="shared" si="10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100"/>
        <v>modesg_out_empr_info_nfince_capex_enblng_algnd</v>
      </c>
      <c r="B493" s="67" t="s">
        <v>26</v>
      </c>
      <c r="C493" s="68" t="s">
        <v>310</v>
      </c>
      <c r="D493" s="64" t="s">
        <v>40</v>
      </c>
      <c r="E493" s="66" t="s">
        <v>325</v>
      </c>
      <c r="F493" s="64" t="s">
        <v>277</v>
      </c>
      <c r="G493" s="64" t="str">
        <f>INDEX(Auxiliar!$B$16:$B$24,MATCH(Plano_V3!H493,Auxiliar!$C$16:$C$24,0),1)</f>
        <v>1. Concluído</v>
      </c>
      <c r="H493" s="64">
        <f>VLOOKUP(A493,'Aux - pivots1'!$A:$B,2,0)</f>
        <v>1</v>
      </c>
      <c r="I493" s="186" t="e">
        <f>SUMIFS(Table1[Estimação (horas)],Table1[Tabela],Plano_V3!E493,Table1[Campo],Plano_V3!F493)</f>
        <v>#N/A</v>
      </c>
      <c r="J493" s="186" t="e">
        <f t="shared" si="101"/>
        <v>#N/A</v>
      </c>
      <c r="K493" s="186" t="e">
        <f>SUMIFS(Table1[Horas efetivas],Table1[Tabela],Plano_V3!E493,Table1[Campo],Plano_V3!F493)</f>
        <v>#N/A</v>
      </c>
      <c r="L493" s="186" t="e">
        <f t="shared" si="102"/>
        <v>#N/A</v>
      </c>
      <c r="M493" s="180"/>
      <c r="N493" s="180" t="e">
        <f t="shared" si="103"/>
        <v>#N/A</v>
      </c>
      <c r="O493" s="180" t="e">
        <f t="shared" si="10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100"/>
        <v>modesg_out_empr_info_nfince_capex_own_prfrmnce_algnd</v>
      </c>
      <c r="B494" s="67" t="s">
        <v>26</v>
      </c>
      <c r="C494" s="68" t="s">
        <v>310</v>
      </c>
      <c r="D494" s="64" t="s">
        <v>40</v>
      </c>
      <c r="E494" s="66" t="s">
        <v>325</v>
      </c>
      <c r="F494" s="64" t="s">
        <v>278</v>
      </c>
      <c r="G494" s="64" t="str">
        <f>INDEX(Auxiliar!$B$16:$B$24,MATCH(Plano_V3!H494,Auxiliar!$C$16:$C$24,0),1)</f>
        <v>1. Concluído</v>
      </c>
      <c r="H494" s="64">
        <f>VLOOKUP(A494,'Aux - pivots1'!$A:$B,2,0)</f>
        <v>1</v>
      </c>
      <c r="I494" s="186" t="e">
        <f>SUMIFS(Table1[Estimação (horas)],Table1[Tabela],Plano_V3!E494,Table1[Campo],Plano_V3!F494)</f>
        <v>#N/A</v>
      </c>
      <c r="J494" s="186" t="e">
        <f t="shared" si="101"/>
        <v>#N/A</v>
      </c>
      <c r="K494" s="186" t="e">
        <f>SUMIFS(Table1[Horas efetivas],Table1[Tabela],Plano_V3!E494,Table1[Campo],Plano_V3!F494)</f>
        <v>#N/A</v>
      </c>
      <c r="L494" s="186" t="e">
        <f t="shared" si="102"/>
        <v>#N/A</v>
      </c>
      <c r="M494" s="180"/>
      <c r="N494" s="180" t="e">
        <f t="shared" si="103"/>
        <v>#N/A</v>
      </c>
      <c r="O494" s="180" t="e">
        <f t="shared" si="10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90"/>
        <v>modesg_out_empr_info_nfincod_nace_esg</v>
      </c>
      <c r="B495" s="67" t="s">
        <v>26</v>
      </c>
      <c r="C495" s="68" t="s">
        <v>310</v>
      </c>
      <c r="D495" s="64" t="s">
        <v>40</v>
      </c>
      <c r="E495" s="66" t="s">
        <v>325</v>
      </c>
      <c r="F495" s="64" t="s">
        <v>281</v>
      </c>
      <c r="G495" s="64" t="str">
        <f>INDEX(Auxiliar!$B$16:$B$24,MATCH(Plano_V3!H495,Auxiliar!$C$16:$C$24,0),1)</f>
        <v>2.2 Em Re-especificação</v>
      </c>
      <c r="H495" s="64">
        <f>VLOOKUP(A495,'Aux - pivots1'!$A:$B,2,0)</f>
        <v>3</v>
      </c>
      <c r="I495" s="186">
        <f>SUMIFS(Table1[Estimação (horas)],Table1[Tabela],Plano_V3!E495,Table1[Campo],Plano_V3!F495)</f>
        <v>16.100000000000001</v>
      </c>
      <c r="J495" s="186">
        <f t="shared" si="91"/>
        <v>2.0125000000000002</v>
      </c>
      <c r="K495" s="186">
        <f>SUMIFS(Table1[Horas efetivas],Table1[Tabela],Plano_V3!E495,Table1[Campo],Plano_V3!F495)</f>
        <v>8.0500000000000007</v>
      </c>
      <c r="L495" s="186">
        <f t="shared" si="92"/>
        <v>1.0062500000000001</v>
      </c>
      <c r="M495" s="180"/>
      <c r="N495" s="180">
        <f t="shared" si="93"/>
        <v>0.5</v>
      </c>
      <c r="O495" s="180">
        <f t="shared" si="77"/>
        <v>0.5</v>
      </c>
      <c r="P495" s="87" t="s">
        <v>326</v>
      </c>
      <c r="Q495" s="90">
        <f t="shared" si="85"/>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90"/>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91"/>
        <v>1.0125</v>
      </c>
      <c r="K496" s="186">
        <f>SUMIFS(Table1[Horas efetivas],Table1[Tabela],Plano_V3!E496,Table1[Campo],Plano_V3!F496)</f>
        <v>8.1</v>
      </c>
      <c r="L496" s="186">
        <f t="shared" si="92"/>
        <v>1.0125</v>
      </c>
      <c r="M496" s="180"/>
      <c r="N496" s="180">
        <f t="shared" si="93"/>
        <v>1</v>
      </c>
      <c r="O496" s="180">
        <f t="shared" si="77"/>
        <v>1</v>
      </c>
      <c r="P496" s="87" t="s">
        <v>326</v>
      </c>
      <c r="Q496" s="90">
        <f t="shared" si="85"/>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90"/>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91"/>
        <v>1.0125</v>
      </c>
      <c r="K497" s="186">
        <f>SUMIFS(Table1[Horas efetivas],Table1[Tabela],Plano_V3!E497,Table1[Campo],Plano_V3!F497)</f>
        <v>8.1</v>
      </c>
      <c r="L497" s="186">
        <f t="shared" si="92"/>
        <v>1.0125</v>
      </c>
      <c r="M497" s="180"/>
      <c r="N497" s="180">
        <f t="shared" si="93"/>
        <v>1</v>
      </c>
      <c r="O497" s="180">
        <f t="shared" si="77"/>
        <v>1</v>
      </c>
      <c r="P497" s="87" t="s">
        <v>326</v>
      </c>
      <c r="Q497" s="90">
        <f t="shared" si="85"/>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90"/>
        <v>modesg_out_empr_info_nfinflg_rsc_fsc_agd</v>
      </c>
      <c r="B498" s="67" t="s">
        <v>26</v>
      </c>
      <c r="C498" s="68" t="s">
        <v>310</v>
      </c>
      <c r="D498" s="64" t="s">
        <v>40</v>
      </c>
      <c r="E498" s="66" t="s">
        <v>325</v>
      </c>
      <c r="F498" s="64" t="s">
        <v>282</v>
      </c>
      <c r="G498" s="64" t="str">
        <f>INDEX(Auxiliar!$B$16:$B$24,MATCH(Plano_V3!H498,Auxiliar!$C$16:$C$24,0),1)</f>
        <v>2.2 Em Re-especificação</v>
      </c>
      <c r="H498" s="64">
        <f>VLOOKUP(A498,'Aux - pivots1'!$A:$B,2,0)</f>
        <v>3</v>
      </c>
      <c r="I498" s="186">
        <f>SUMIFS(Table1[Estimação (horas)],Table1[Tabela],Plano_V3!E498,Table1[Campo],Plano_V3!F498)</f>
        <v>16.100000000000001</v>
      </c>
      <c r="J498" s="186">
        <f t="shared" si="91"/>
        <v>2.0125000000000002</v>
      </c>
      <c r="K498" s="186">
        <f>SUMIFS(Table1[Horas efetivas],Table1[Tabela],Plano_V3!E498,Table1[Campo],Plano_V3!F498)</f>
        <v>8.0500000000000007</v>
      </c>
      <c r="L498" s="186">
        <f t="shared" si="92"/>
        <v>1.0062500000000001</v>
      </c>
      <c r="M498" s="180"/>
      <c r="N498" s="180">
        <f t="shared" si="93"/>
        <v>0.5</v>
      </c>
      <c r="O498" s="180">
        <f t="shared" ref="O498:O546" si="105">N498-M498</f>
        <v>0.5</v>
      </c>
      <c r="P498" s="87" t="s">
        <v>326</v>
      </c>
      <c r="Q498" s="90">
        <f t="shared" si="85"/>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90"/>
        <v>modesg_out_empr_info_nfinflg_rsc_fsc_crnc</v>
      </c>
      <c r="B499" s="67" t="s">
        <v>26</v>
      </c>
      <c r="C499" s="68" t="s">
        <v>310</v>
      </c>
      <c r="D499" s="64" t="s">
        <v>40</v>
      </c>
      <c r="E499" s="66" t="s">
        <v>325</v>
      </c>
      <c r="F499" s="64" t="s">
        <v>283</v>
      </c>
      <c r="G499" s="64" t="str">
        <f>INDEX(Auxiliar!$B$16:$B$24,MATCH(Plano_V3!H499,Auxiliar!$C$16:$C$24,0),1)</f>
        <v>2.2 Em Re-especificação</v>
      </c>
      <c r="H499" s="64">
        <f>VLOOKUP(A499,'Aux - pivots1'!$A:$B,2,0)</f>
        <v>3</v>
      </c>
      <c r="I499" s="186">
        <f>SUMIFS(Table1[Estimação (horas)],Table1[Tabela],Plano_V3!E499,Table1[Campo],Plano_V3!F499)</f>
        <v>16.100000000000001</v>
      </c>
      <c r="J499" s="186">
        <f t="shared" si="91"/>
        <v>2.0125000000000002</v>
      </c>
      <c r="K499" s="186">
        <f>SUMIFS(Table1[Horas efetivas],Table1[Tabela],Plano_V3!E499,Table1[Campo],Plano_V3!F499)</f>
        <v>8.0500000000000007</v>
      </c>
      <c r="L499" s="186">
        <f t="shared" si="92"/>
        <v>1.0062500000000001</v>
      </c>
      <c r="M499" s="180"/>
      <c r="N499" s="180">
        <f t="shared" si="93"/>
        <v>0.5</v>
      </c>
      <c r="O499" s="180">
        <f t="shared" si="105"/>
        <v>0.5</v>
      </c>
      <c r="P499" s="87" t="s">
        <v>326</v>
      </c>
      <c r="Q499" s="90">
        <f t="shared" si="85"/>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90"/>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91"/>
        <v>0.51249999999999996</v>
      </c>
      <c r="K500" s="186">
        <f>SUMIFS(Table1[Horas efetivas],Table1[Tabela],Plano_V3!E500,Table1[Campo],Plano_V3!F500)</f>
        <v>4.0999999999999996</v>
      </c>
      <c r="L500" s="186">
        <f t="shared" si="92"/>
        <v>0.51249999999999996</v>
      </c>
      <c r="M500" s="180"/>
      <c r="N500" s="180">
        <f t="shared" si="93"/>
        <v>1</v>
      </c>
      <c r="O500" s="180">
        <f t="shared" si="105"/>
        <v>1</v>
      </c>
      <c r="P500" s="87" t="s">
        <v>326</v>
      </c>
      <c r="Q500" s="90">
        <f t="shared" si="85"/>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90"/>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91"/>
        <v>0.51249999999999996</v>
      </c>
      <c r="K501" s="186">
        <f>SUMIFS(Table1[Horas efetivas],Table1[Tabela],Plano_V3!E501,Table1[Campo],Plano_V3!F501)</f>
        <v>4.0999999999999996</v>
      </c>
      <c r="L501" s="186">
        <f t="shared" si="92"/>
        <v>0.51249999999999996</v>
      </c>
      <c r="M501" s="180"/>
      <c r="N501" s="180">
        <f t="shared" si="93"/>
        <v>1</v>
      </c>
      <c r="O501" s="180">
        <f t="shared" si="105"/>
        <v>1</v>
      </c>
      <c r="P501" s="87" t="s">
        <v>326</v>
      </c>
      <c r="Q501" s="90">
        <f t="shared" si="85"/>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90"/>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91"/>
        <v>0.51249999999999996</v>
      </c>
      <c r="K502" s="186">
        <f>SUMIFS(Table1[Horas efetivas],Table1[Tabela],Plano_V3!E502,Table1[Campo],Plano_V3!F502)</f>
        <v>4.0999999999999996</v>
      </c>
      <c r="L502" s="186">
        <f t="shared" si="92"/>
        <v>0.51249999999999996</v>
      </c>
      <c r="M502" s="180"/>
      <c r="N502" s="180">
        <f t="shared" si="93"/>
        <v>1</v>
      </c>
      <c r="O502" s="180">
        <f t="shared" si="105"/>
        <v>1</v>
      </c>
      <c r="P502" s="87" t="s">
        <v>326</v>
      </c>
      <c r="Q502" s="90">
        <f t="shared" si="85"/>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90"/>
        <v>modesg_out_empr_info_nfinorigem_flg_rsc_fsc_agd</v>
      </c>
      <c r="B503" s="67" t="s">
        <v>26</v>
      </c>
      <c r="C503" s="68" t="s">
        <v>310</v>
      </c>
      <c r="D503" s="64" t="s">
        <v>40</v>
      </c>
      <c r="E503" s="66" t="s">
        <v>325</v>
      </c>
      <c r="F503" s="64" t="s">
        <v>317</v>
      </c>
      <c r="G503" s="64" t="str">
        <f>INDEX(Auxiliar!$B$16:$B$24,MATCH(Plano_V3!H503,Auxiliar!$C$16:$C$24,0),1)</f>
        <v>2.2 Em Re-especificação</v>
      </c>
      <c r="H503" s="64">
        <f>VLOOKUP(A503,'Aux - pivots1'!$A:$B,2,0)</f>
        <v>3</v>
      </c>
      <c r="I503" s="186">
        <f>SUMIFS(Table1[Estimação (horas)],Table1[Tabela],Plano_V3!E503,Table1[Campo],Plano_V3!F503)</f>
        <v>4.0999999999999996</v>
      </c>
      <c r="J503" s="186">
        <f t="shared" si="91"/>
        <v>0.51249999999999996</v>
      </c>
      <c r="K503" s="186">
        <f>SUMIFS(Table1[Horas efetivas],Table1[Tabela],Plano_V3!E503,Table1[Campo],Plano_V3!F503)</f>
        <v>2.0499999999999998</v>
      </c>
      <c r="L503" s="186">
        <f t="shared" si="92"/>
        <v>0.25624999999999998</v>
      </c>
      <c r="M503" s="180"/>
      <c r="N503" s="180">
        <f t="shared" si="93"/>
        <v>0.5</v>
      </c>
      <c r="O503" s="180">
        <f t="shared" si="105"/>
        <v>0.5</v>
      </c>
      <c r="P503" s="87" t="s">
        <v>326</v>
      </c>
      <c r="Q503" s="90">
        <f t="shared" si="85"/>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90"/>
        <v>modesg_out_empr_info_nfinorigem_flg_rsc_fsc_crnc</v>
      </c>
      <c r="B504" s="67" t="s">
        <v>26</v>
      </c>
      <c r="C504" s="68" t="s">
        <v>310</v>
      </c>
      <c r="D504" s="64" t="s">
        <v>40</v>
      </c>
      <c r="E504" s="66" t="s">
        <v>325</v>
      </c>
      <c r="F504" s="64" t="s">
        <v>318</v>
      </c>
      <c r="G504" s="64" t="str">
        <f>INDEX(Auxiliar!$B$16:$B$24,MATCH(Plano_V3!H504,Auxiliar!$C$16:$C$24,0),1)</f>
        <v>2.2 Em Re-especificação</v>
      </c>
      <c r="H504" s="64">
        <f>VLOOKUP(A504,'Aux - pivots1'!$A:$B,2,0)</f>
        <v>3</v>
      </c>
      <c r="I504" s="186">
        <f>SUMIFS(Table1[Estimação (horas)],Table1[Tabela],Plano_V3!E504,Table1[Campo],Plano_V3!F504)</f>
        <v>4.0999999999999996</v>
      </c>
      <c r="J504" s="186">
        <f t="shared" si="91"/>
        <v>0.51249999999999996</v>
      </c>
      <c r="K504" s="186">
        <f>SUMIFS(Table1[Horas efetivas],Table1[Tabela],Plano_V3!E504,Table1[Campo],Plano_V3!F504)</f>
        <v>2.0499999999999998</v>
      </c>
      <c r="L504" s="186">
        <f t="shared" si="92"/>
        <v>0.25624999999999998</v>
      </c>
      <c r="M504" s="180"/>
      <c r="N504" s="180">
        <f t="shared" si="93"/>
        <v>0.5</v>
      </c>
      <c r="O504" s="180">
        <f t="shared" si="105"/>
        <v>0.5</v>
      </c>
      <c r="P504" s="87" t="s">
        <v>326</v>
      </c>
      <c r="Q504" s="90">
        <f t="shared" si="85"/>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90"/>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91"/>
        <v>0.51249999999999996</v>
      </c>
      <c r="K505" s="186">
        <f>SUMIFS(Table1[Horas efetivas],Table1[Tabela],Plano_V3!E505,Table1[Campo],Plano_V3!F505)</f>
        <v>1.0249999999999999</v>
      </c>
      <c r="L505" s="186">
        <f t="shared" si="92"/>
        <v>0.12812499999999999</v>
      </c>
      <c r="M505" s="180"/>
      <c r="N505" s="180">
        <f t="shared" si="93"/>
        <v>0.25</v>
      </c>
      <c r="O505" s="180">
        <f t="shared" si="105"/>
        <v>0.25</v>
      </c>
      <c r="P505" s="87" t="s">
        <v>326</v>
      </c>
      <c r="Q505" s="90">
        <f t="shared" si="85"/>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90"/>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91"/>
        <v>0.51249999999999996</v>
      </c>
      <c r="K506" s="186">
        <f>SUMIFS(Table1[Horas efetivas],Table1[Tabela],Plano_V3!E506,Table1[Campo],Plano_V3!F506)</f>
        <v>1.0249999999999999</v>
      </c>
      <c r="L506" s="186">
        <f t="shared" si="92"/>
        <v>0.12812499999999999</v>
      </c>
      <c r="M506" s="180"/>
      <c r="N506" s="180">
        <f t="shared" si="93"/>
        <v>0.25</v>
      </c>
      <c r="O506" s="180">
        <f t="shared" si="105"/>
        <v>0.25</v>
      </c>
      <c r="P506" s="87" t="s">
        <v>326</v>
      </c>
      <c r="Q506" s="90">
        <f t="shared" si="8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90"/>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91"/>
        <v>0.51249999999999996</v>
      </c>
      <c r="K507" s="186">
        <f>SUMIFS(Table1[Horas efetivas],Table1[Tabela],Plano_V3!E507,Table1[Campo],Plano_V3!F507)</f>
        <v>1.0249999999999999</v>
      </c>
      <c r="L507" s="186">
        <f t="shared" si="92"/>
        <v>0.12812499999999999</v>
      </c>
      <c r="M507" s="180"/>
      <c r="N507" s="180">
        <f t="shared" si="93"/>
        <v>0.25</v>
      </c>
      <c r="O507" s="180">
        <f t="shared" si="105"/>
        <v>0.25</v>
      </c>
      <c r="P507" s="87" t="s">
        <v>326</v>
      </c>
      <c r="Q507" s="90">
        <f t="shared" si="8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90"/>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91"/>
        <v>0.51249999999999996</v>
      </c>
      <c r="K508" s="186">
        <f>SUMIFS(Table1[Horas efetivas],Table1[Tabela],Plano_V3!E508,Table1[Campo],Plano_V3!F508)</f>
        <v>4.0999999999999996</v>
      </c>
      <c r="L508" s="186">
        <f t="shared" si="92"/>
        <v>0.51249999999999996</v>
      </c>
      <c r="M508" s="180"/>
      <c r="N508" s="180">
        <f t="shared" si="93"/>
        <v>1</v>
      </c>
      <c r="O508" s="180">
        <f t="shared" si="105"/>
        <v>1</v>
      </c>
      <c r="P508" s="87" t="s">
        <v>326</v>
      </c>
      <c r="Q508" s="90">
        <f t="shared" si="8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90"/>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91"/>
        <v>1.0125</v>
      </c>
      <c r="K509" s="186">
        <f>SUMIFS(Table1[Horas efetivas],Table1[Tabela],Plano_V3!E509,Table1[Campo],Plano_V3!F509)</f>
        <v>2.0249999999999999</v>
      </c>
      <c r="L509" s="186">
        <f t="shared" si="92"/>
        <v>0.25312499999999999</v>
      </c>
      <c r="M509" s="180"/>
      <c r="N509" s="180">
        <f t="shared" si="93"/>
        <v>0.25</v>
      </c>
      <c r="O509" s="180">
        <f t="shared" si="105"/>
        <v>0.25</v>
      </c>
      <c r="P509" s="87" t="s">
        <v>326</v>
      </c>
      <c r="Q509" s="90">
        <f t="shared" ref="Q509:Q546" si="106">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90"/>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91"/>
        <v>1.0125</v>
      </c>
      <c r="K510" s="186">
        <f>SUMIFS(Table1[Horas efetivas],Table1[Tabela],Plano_V3!E510,Table1[Campo],Plano_V3!F510)</f>
        <v>2.0249999999999999</v>
      </c>
      <c r="L510" s="186">
        <f t="shared" si="92"/>
        <v>0.25312499999999999</v>
      </c>
      <c r="M510" s="180"/>
      <c r="N510" s="180">
        <f t="shared" si="93"/>
        <v>0.25</v>
      </c>
      <c r="O510" s="180">
        <f t="shared" si="105"/>
        <v>0.25</v>
      </c>
      <c r="P510" s="87" t="s">
        <v>326</v>
      </c>
      <c r="Q510" s="90">
        <f t="shared" si="106"/>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90"/>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91"/>
        <v>1.0125</v>
      </c>
      <c r="K511" s="186">
        <f>SUMIFS(Table1[Horas efetivas],Table1[Tabela],Plano_V3!E511,Table1[Campo],Plano_V3!F511)</f>
        <v>2.0249999999999999</v>
      </c>
      <c r="L511" s="186">
        <f t="shared" si="92"/>
        <v>0.25312499999999999</v>
      </c>
      <c r="M511" s="180"/>
      <c r="N511" s="180">
        <f t="shared" si="93"/>
        <v>0.25</v>
      </c>
      <c r="O511" s="180">
        <f t="shared" si="105"/>
        <v>0.25</v>
      </c>
      <c r="P511" s="87" t="s">
        <v>326</v>
      </c>
      <c r="Q511" s="90">
        <f t="shared" si="106"/>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107">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91"/>
        <v>0.51249999999999996</v>
      </c>
      <c r="K512" s="186">
        <f>SUMIFS(Table1[Horas efetivas],Table1[Tabela],Plano_V3!E512,Table1[Campo],Plano_V3!F512)</f>
        <v>4.0999999999999996</v>
      </c>
      <c r="L512" s="186">
        <f t="shared" si="92"/>
        <v>0.51249999999999996</v>
      </c>
      <c r="M512" s="180"/>
      <c r="N512" s="180">
        <f t="shared" si="93"/>
        <v>1</v>
      </c>
      <c r="O512" s="180">
        <f t="shared" si="105"/>
        <v>1</v>
      </c>
      <c r="P512" s="87" t="s">
        <v>326</v>
      </c>
      <c r="Q512" s="90">
        <f t="shared" si="10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107"/>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91"/>
        <v>1</v>
      </c>
      <c r="K513" s="186">
        <f>SUMIFS(Table1[Horas efetivas],Table1[Tabela],Plano_V3!E513,Table1[Campo],Plano_V3!F513)</f>
        <v>8</v>
      </c>
      <c r="L513" s="186">
        <f t="shared" si="92"/>
        <v>1</v>
      </c>
      <c r="M513" s="180"/>
      <c r="N513" s="180">
        <f t="shared" si="93"/>
        <v>1</v>
      </c>
      <c r="O513" s="180">
        <f t="shared" si="105"/>
        <v>1</v>
      </c>
      <c r="P513" s="87" t="s">
        <v>332</v>
      </c>
      <c r="Q513" s="90">
        <f t="shared" si="106"/>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107"/>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91"/>
        <v>0.51249999999999996</v>
      </c>
      <c r="K514" s="186">
        <f>SUMIFS(Table1[Horas efetivas],Table1[Tabela],Plano_V3!E514,Table1[Campo],Plano_V3!F514)</f>
        <v>4.0999999999999996</v>
      </c>
      <c r="L514" s="186">
        <f t="shared" si="92"/>
        <v>0.51249999999999996</v>
      </c>
      <c r="M514" s="180"/>
      <c r="N514" s="180">
        <f t="shared" si="93"/>
        <v>1</v>
      </c>
      <c r="O514" s="180">
        <f t="shared" si="105"/>
        <v>1</v>
      </c>
      <c r="P514" s="87" t="s">
        <v>332</v>
      </c>
      <c r="Q514" s="90">
        <f t="shared" si="10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107"/>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91"/>
        <v>0.51249999999999996</v>
      </c>
      <c r="K515" s="186">
        <f>SUMIFS(Table1[Horas efetivas],Table1[Tabela],Plano_V3!E515,Table1[Campo],Plano_V3!F515)</f>
        <v>4.0999999999999996</v>
      </c>
      <c r="L515" s="186">
        <f t="shared" si="92"/>
        <v>0.51249999999999996</v>
      </c>
      <c r="M515" s="180"/>
      <c r="N515" s="180">
        <f t="shared" si="93"/>
        <v>1</v>
      </c>
      <c r="O515" s="180">
        <f t="shared" si="105"/>
        <v>1</v>
      </c>
      <c r="P515" s="87" t="s">
        <v>332</v>
      </c>
      <c r="Q515" s="90">
        <f t="shared" si="10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107"/>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91"/>
        <v>0.51249999999999996</v>
      </c>
      <c r="K516" s="186">
        <f>SUMIFS(Table1[Horas efetivas],Table1[Tabela],Plano_V3!E516,Table1[Campo],Plano_V3!F516)</f>
        <v>4.0999999999999996</v>
      </c>
      <c r="L516" s="186">
        <f t="shared" si="92"/>
        <v>0.51249999999999996</v>
      </c>
      <c r="M516" s="180"/>
      <c r="N516" s="180">
        <f t="shared" si="93"/>
        <v>1</v>
      </c>
      <c r="O516" s="180">
        <f t="shared" si="105"/>
        <v>1</v>
      </c>
      <c r="P516" s="87" t="s">
        <v>332</v>
      </c>
      <c r="Q516" s="90">
        <f t="shared" si="10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107"/>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91"/>
        <v>0.51249999999999996</v>
      </c>
      <c r="K517" s="186">
        <f>SUMIFS(Table1[Horas efetivas],Table1[Tabela],Plano_V3!E517,Table1[Campo],Plano_V3!F517)</f>
        <v>4.0999999999999996</v>
      </c>
      <c r="L517" s="186">
        <f t="shared" si="92"/>
        <v>0.51249999999999996</v>
      </c>
      <c r="M517" s="180"/>
      <c r="N517" s="180">
        <f t="shared" si="93"/>
        <v>1</v>
      </c>
      <c r="O517" s="180">
        <f t="shared" si="105"/>
        <v>1</v>
      </c>
      <c r="P517" s="87" t="s">
        <v>332</v>
      </c>
      <c r="Q517" s="90">
        <f t="shared" si="10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107"/>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91"/>
        <v>1.0125</v>
      </c>
      <c r="K518" s="186">
        <f>SUMIFS(Table1[Horas efetivas],Table1[Tabela],Plano_V3!E518,Table1[Campo],Plano_V3!F518)</f>
        <v>8.1</v>
      </c>
      <c r="L518" s="186">
        <f t="shared" si="92"/>
        <v>1.0125</v>
      </c>
      <c r="M518" s="180"/>
      <c r="N518" s="180">
        <f t="shared" si="93"/>
        <v>1</v>
      </c>
      <c r="O518" s="180">
        <f t="shared" si="105"/>
        <v>1</v>
      </c>
      <c r="P518" s="87" t="s">
        <v>332</v>
      </c>
      <c r="Q518" s="90">
        <f t="shared" si="106"/>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107"/>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91"/>
        <v>1.0125</v>
      </c>
      <c r="K519" s="186">
        <f>SUMIFS(Table1[Horas efetivas],Table1[Tabela],Plano_V3!E519,Table1[Campo],Plano_V3!F519)</f>
        <v>8.1</v>
      </c>
      <c r="L519" s="186">
        <f t="shared" si="92"/>
        <v>1.0125</v>
      </c>
      <c r="M519" s="180"/>
      <c r="N519" s="180">
        <f t="shared" si="93"/>
        <v>1</v>
      </c>
      <c r="O519" s="180">
        <f t="shared" si="105"/>
        <v>1</v>
      </c>
      <c r="P519" s="87" t="s">
        <v>332</v>
      </c>
      <c r="Q519" s="90">
        <f t="shared" si="10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107"/>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91"/>
        <v>1.0125</v>
      </c>
      <c r="K520" s="186">
        <f>SUMIFS(Table1[Horas efetivas],Table1[Tabela],Plano_V3!E520,Table1[Campo],Plano_V3!F520)</f>
        <v>8.1</v>
      </c>
      <c r="L520" s="186">
        <f t="shared" si="92"/>
        <v>1.0125</v>
      </c>
      <c r="M520" s="180"/>
      <c r="N520" s="180">
        <f t="shared" si="93"/>
        <v>1</v>
      </c>
      <c r="O520" s="180">
        <f t="shared" si="105"/>
        <v>1</v>
      </c>
      <c r="P520" s="87" t="s">
        <v>332</v>
      </c>
      <c r="Q520" s="90">
        <f t="shared" si="10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107"/>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91"/>
        <v>1.0125</v>
      </c>
      <c r="K521" s="186">
        <f>SUMIFS(Table1[Horas efetivas],Table1[Tabela],Plano_V3!E521,Table1[Campo],Plano_V3!F521)</f>
        <v>8.1</v>
      </c>
      <c r="L521" s="186">
        <f t="shared" si="92"/>
        <v>1.0125</v>
      </c>
      <c r="M521" s="180"/>
      <c r="N521" s="180">
        <f t="shared" si="93"/>
        <v>1</v>
      </c>
      <c r="O521" s="180">
        <f t="shared" si="105"/>
        <v>1</v>
      </c>
      <c r="P521" s="87" t="s">
        <v>332</v>
      </c>
      <c r="Q521" s="90">
        <f t="shared" si="106"/>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107"/>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91"/>
        <v>0.51249999999999996</v>
      </c>
      <c r="K522" s="186">
        <f>SUMIFS(Table1[Horas efetivas],Table1[Tabela],Plano_V3!E522,Table1[Campo],Plano_V3!F522)</f>
        <v>4.0999999999999996</v>
      </c>
      <c r="L522" s="186">
        <f t="shared" si="92"/>
        <v>0.51249999999999996</v>
      </c>
      <c r="M522" s="180"/>
      <c r="N522" s="180">
        <f t="shared" si="93"/>
        <v>1</v>
      </c>
      <c r="O522" s="180">
        <f t="shared" si="105"/>
        <v>1</v>
      </c>
      <c r="P522" s="87" t="s">
        <v>332</v>
      </c>
      <c r="Q522" s="90">
        <f t="shared" si="106"/>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107"/>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91"/>
        <v>2.0125000000000002</v>
      </c>
      <c r="K523" s="186">
        <f>SUMIFS(Table1[Horas efetivas],Table1[Tabela],Plano_V3!E523,Table1[Campo],Plano_V3!F523)</f>
        <v>16.100000000000001</v>
      </c>
      <c r="L523" s="186">
        <f t="shared" si="92"/>
        <v>2.0125000000000002</v>
      </c>
      <c r="M523" s="180"/>
      <c r="N523" s="180">
        <f t="shared" si="93"/>
        <v>1</v>
      </c>
      <c r="O523" s="180">
        <f t="shared" si="105"/>
        <v>1</v>
      </c>
      <c r="P523" s="87" t="s">
        <v>332</v>
      </c>
      <c r="Q523" s="90">
        <f t="shared" si="106"/>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107"/>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91"/>
        <v>2.0125000000000002</v>
      </c>
      <c r="K524" s="186">
        <f>SUMIFS(Table1[Horas efetivas],Table1[Tabela],Plano_V3!E524,Table1[Campo],Plano_V3!F524)</f>
        <v>16.100000000000001</v>
      </c>
      <c r="L524" s="186">
        <f t="shared" si="92"/>
        <v>2.0125000000000002</v>
      </c>
      <c r="M524" s="180"/>
      <c r="N524" s="180">
        <f t="shared" si="93"/>
        <v>1</v>
      </c>
      <c r="O524" s="180">
        <f t="shared" si="105"/>
        <v>1</v>
      </c>
      <c r="P524" s="87" t="s">
        <v>332</v>
      </c>
      <c r="Q524" s="90">
        <f t="shared" si="106"/>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107"/>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108">I525/8</f>
        <v>2.0125000000000002</v>
      </c>
      <c r="K525" s="186">
        <f>SUMIFS(Table1[Horas efetivas],Table1[Tabela],Plano_V3!E525,Table1[Campo],Plano_V3!F525)</f>
        <v>16.100000000000001</v>
      </c>
      <c r="L525" s="186">
        <f t="shared" ref="L525:L544" si="109">K525/8</f>
        <v>2.0125000000000002</v>
      </c>
      <c r="M525" s="180"/>
      <c r="N525" s="180">
        <f t="shared" ref="N525:N545" si="110">L525/J525</f>
        <v>1</v>
      </c>
      <c r="O525" s="180">
        <f t="shared" si="105"/>
        <v>1</v>
      </c>
      <c r="P525" s="87" t="s">
        <v>332</v>
      </c>
      <c r="Q525" s="90">
        <f t="shared" si="106"/>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107"/>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108"/>
        <v>0.51249999999999996</v>
      </c>
      <c r="K526" s="186">
        <f>SUMIFS(Table1[Horas efetivas],Table1[Tabela],Plano_V3!E526,Table1[Campo],Plano_V3!F526)</f>
        <v>4.0999999999999996</v>
      </c>
      <c r="L526" s="186">
        <f t="shared" si="109"/>
        <v>0.51249999999999996</v>
      </c>
      <c r="M526" s="180"/>
      <c r="N526" s="180">
        <f t="shared" si="110"/>
        <v>1</v>
      </c>
      <c r="O526" s="180">
        <f t="shared" si="105"/>
        <v>1</v>
      </c>
      <c r="P526" s="87" t="s">
        <v>332</v>
      </c>
      <c r="Q526" s="90">
        <f t="shared" si="10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107"/>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108"/>
        <v>0.51249999999999996</v>
      </c>
      <c r="K527" s="186">
        <f>SUMIFS(Table1[Horas efetivas],Table1[Tabela],Plano_V3!E527,Table1[Campo],Plano_V3!F527)</f>
        <v>4.0999999999999996</v>
      </c>
      <c r="L527" s="186">
        <f t="shared" si="109"/>
        <v>0.51249999999999996</v>
      </c>
      <c r="M527" s="180"/>
      <c r="N527" s="180">
        <f t="shared" si="110"/>
        <v>1</v>
      </c>
      <c r="O527" s="180">
        <f t="shared" si="105"/>
        <v>1</v>
      </c>
      <c r="P527" s="87" t="s">
        <v>332</v>
      </c>
      <c r="Q527" s="90">
        <f t="shared" si="106"/>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107"/>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108"/>
        <v>0.51249999999999996</v>
      </c>
      <c r="K528" s="186">
        <f>SUMIFS(Table1[Horas efetivas],Table1[Tabela],Plano_V3!E528,Table1[Campo],Plano_V3!F528)</f>
        <v>4.0999999999999996</v>
      </c>
      <c r="L528" s="186">
        <f t="shared" si="109"/>
        <v>0.51249999999999996</v>
      </c>
      <c r="M528" s="180"/>
      <c r="N528" s="180">
        <f t="shared" si="110"/>
        <v>1</v>
      </c>
      <c r="O528" s="180">
        <f t="shared" si="105"/>
        <v>1</v>
      </c>
      <c r="P528" s="87" t="s">
        <v>332</v>
      </c>
      <c r="Q528" s="90">
        <f t="shared" si="106"/>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107"/>
        <v>modesg_out_sfics_taxon_europeian.a.</v>
      </c>
      <c r="B529" s="67" t="s">
        <v>26</v>
      </c>
      <c r="C529" s="68" t="s">
        <v>310</v>
      </c>
      <c r="D529" s="64" t="s">
        <v>36</v>
      </c>
      <c r="E529" s="66" t="s">
        <v>2137</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108"/>
        <v>1</v>
      </c>
      <c r="K529" s="186">
        <f>SUMIFS(Table1[Horas efetivas],Table1[Tabela],Plano_V3!E529,Table1[Campo],Plano_V3!F529)</f>
        <v>2</v>
      </c>
      <c r="L529" s="186">
        <f t="shared" si="109"/>
        <v>0.25</v>
      </c>
      <c r="M529" s="180"/>
      <c r="N529" s="180">
        <f t="shared" si="110"/>
        <v>0.25</v>
      </c>
      <c r="O529" s="180">
        <f t="shared" si="105"/>
        <v>0.25</v>
      </c>
      <c r="P529" s="87" t="s">
        <v>334</v>
      </c>
      <c r="Q529" s="90">
        <f t="shared" si="106"/>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107"/>
        <v>modesg_out_sfics_taxon_europeiacbalcao</v>
      </c>
      <c r="B530" s="67" t="s">
        <v>26</v>
      </c>
      <c r="C530" s="68" t="s">
        <v>310</v>
      </c>
      <c r="D530" s="64" t="s">
        <v>40</v>
      </c>
      <c r="E530" s="66" t="s">
        <v>2137</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108"/>
        <v>0.51249999999999996</v>
      </c>
      <c r="K530" s="186">
        <f>SUMIFS(Table1[Horas efetivas],Table1[Tabela],Plano_V3!E530,Table1[Campo],Plano_V3!F530)</f>
        <v>1.0249999999999999</v>
      </c>
      <c r="L530" s="186">
        <f t="shared" si="109"/>
        <v>0.12812499999999999</v>
      </c>
      <c r="M530" s="180"/>
      <c r="N530" s="180">
        <f t="shared" si="110"/>
        <v>0.25</v>
      </c>
      <c r="O530" s="180">
        <f t="shared" si="105"/>
        <v>0.25</v>
      </c>
      <c r="P530" s="87" t="s">
        <v>334</v>
      </c>
      <c r="Q530" s="90">
        <f t="shared" si="106"/>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107"/>
        <v>modesg_out_sfics_taxon_europeiacempresa</v>
      </c>
      <c r="B531" s="67" t="s">
        <v>26</v>
      </c>
      <c r="C531" s="68" t="s">
        <v>310</v>
      </c>
      <c r="D531" s="64" t="s">
        <v>40</v>
      </c>
      <c r="E531" s="66" t="s">
        <v>2137</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108"/>
        <v>0.51249999999999996</v>
      </c>
      <c r="K531" s="186">
        <f>SUMIFS(Table1[Horas efetivas],Table1[Tabela],Plano_V3!E531,Table1[Campo],Plano_V3!F531)</f>
        <v>1.0249999999999999</v>
      </c>
      <c r="L531" s="186">
        <f t="shared" si="109"/>
        <v>0.12812499999999999</v>
      </c>
      <c r="M531" s="180"/>
      <c r="N531" s="180">
        <f t="shared" si="110"/>
        <v>0.25</v>
      </c>
      <c r="O531" s="180">
        <f t="shared" si="105"/>
        <v>0.25</v>
      </c>
      <c r="P531" s="87" t="s">
        <v>334</v>
      </c>
      <c r="Q531" s="90">
        <f t="shared" si="10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107"/>
        <v>modesg_out_sfics_taxon_europeiacnumecta</v>
      </c>
      <c r="B532" s="67" t="s">
        <v>26</v>
      </c>
      <c r="C532" s="68" t="s">
        <v>310</v>
      </c>
      <c r="D532" s="64" t="s">
        <v>40</v>
      </c>
      <c r="E532" s="66" t="s">
        <v>2137</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108"/>
        <v>0.51249999999999996</v>
      </c>
      <c r="K532" s="186">
        <f>SUMIFS(Table1[Horas efetivas],Table1[Tabela],Plano_V3!E532,Table1[Campo],Plano_V3!F532)</f>
        <v>1.0249999999999999</v>
      </c>
      <c r="L532" s="186">
        <f t="shared" si="109"/>
        <v>0.12812499999999999</v>
      </c>
      <c r="M532" s="180"/>
      <c r="N532" s="180">
        <f t="shared" si="110"/>
        <v>0.25</v>
      </c>
      <c r="O532" s="180">
        <f t="shared" si="105"/>
        <v>0.25</v>
      </c>
      <c r="P532" s="87" t="s">
        <v>334</v>
      </c>
      <c r="Q532" s="90">
        <f t="shared" si="106"/>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107"/>
        <v>modesg_out_sfics_taxon_europeiacod_regra</v>
      </c>
      <c r="B533" s="67" t="s">
        <v>26</v>
      </c>
      <c r="C533" s="68" t="s">
        <v>310</v>
      </c>
      <c r="D533" s="64" t="s">
        <v>40</v>
      </c>
      <c r="E533" s="66" t="s">
        <v>2137</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108"/>
        <v>0.51249999999999996</v>
      </c>
      <c r="K533" s="186">
        <f>SUMIFS(Table1[Horas efetivas],Table1[Tabela],Plano_V3!E533,Table1[Campo],Plano_V3!F533)</f>
        <v>1.0249999999999999</v>
      </c>
      <c r="L533" s="186">
        <f t="shared" si="109"/>
        <v>0.12812499999999999</v>
      </c>
      <c r="M533" s="180"/>
      <c r="N533" s="180">
        <f t="shared" si="110"/>
        <v>0.25</v>
      </c>
      <c r="O533" s="180">
        <f t="shared" si="105"/>
        <v>0.25</v>
      </c>
      <c r="P533" s="87" t="s">
        <v>334</v>
      </c>
      <c r="Q533" s="90">
        <f t="shared" si="106"/>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107"/>
        <v>modesg_out_sfics_taxon_europeiaordem</v>
      </c>
      <c r="B534" s="67" t="s">
        <v>26</v>
      </c>
      <c r="C534" s="68" t="s">
        <v>310</v>
      </c>
      <c r="D534" s="64" t="s">
        <v>40</v>
      </c>
      <c r="E534" s="66" t="s">
        <v>2137</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108"/>
        <v>0.51249999999999996</v>
      </c>
      <c r="K534" s="186">
        <f>SUMIFS(Table1[Horas efetivas],Table1[Tabela],Plano_V3!E534,Table1[Campo],Plano_V3!F534)</f>
        <v>0</v>
      </c>
      <c r="L534" s="186">
        <f t="shared" si="109"/>
        <v>0</v>
      </c>
      <c r="M534" s="180"/>
      <c r="N534" s="180">
        <f t="shared" si="110"/>
        <v>0</v>
      </c>
      <c r="O534" s="180">
        <f t="shared" si="105"/>
        <v>0</v>
      </c>
      <c r="P534" s="87" t="s">
        <v>334</v>
      </c>
      <c r="Q534" s="90">
        <f t="shared" si="106"/>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107"/>
        <v>modesg_out_sfics_taxon_europeiamontante_pndrc</v>
      </c>
      <c r="B535" s="67" t="s">
        <v>26</v>
      </c>
      <c r="C535" s="68" t="s">
        <v>310</v>
      </c>
      <c r="D535" s="64" t="s">
        <v>40</v>
      </c>
      <c r="E535" s="66" t="s">
        <v>2137</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108"/>
        <v>2.0125000000000002</v>
      </c>
      <c r="K535" s="186">
        <f>SUMIFS(Table1[Horas efetivas],Table1[Tabela],Plano_V3!E535,Table1[Campo],Plano_V3!F535)</f>
        <v>4.0250000000000004</v>
      </c>
      <c r="L535" s="186">
        <f t="shared" si="109"/>
        <v>0.50312500000000004</v>
      </c>
      <c r="M535" s="180"/>
      <c r="N535" s="180">
        <f t="shared" si="110"/>
        <v>0.25</v>
      </c>
      <c r="O535" s="180">
        <f t="shared" si="105"/>
        <v>0.25</v>
      </c>
      <c r="P535" s="87" t="s">
        <v>334</v>
      </c>
      <c r="Q535" s="90">
        <f t="shared" si="106"/>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107"/>
        <v>modesg_out_sfics_taxon_europeianome_ctgr_sfics</v>
      </c>
      <c r="B536" s="67" t="s">
        <v>26</v>
      </c>
      <c r="C536" s="68" t="s">
        <v>310</v>
      </c>
      <c r="D536" s="64" t="s">
        <v>40</v>
      </c>
      <c r="E536" s="66" t="s">
        <v>2137</v>
      </c>
      <c r="F536" s="64" t="s">
        <v>2101</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108"/>
        <v>2.0125000000000002</v>
      </c>
      <c r="K536" s="186">
        <f>SUMIFS(Table1[Horas efetivas],Table1[Tabela],Plano_V3!E536,Table1[Campo],Plano_V3!F536)</f>
        <v>4.0250000000000004</v>
      </c>
      <c r="L536" s="186">
        <f t="shared" si="109"/>
        <v>0.50312500000000004</v>
      </c>
      <c r="M536" s="180"/>
      <c r="N536" s="180">
        <f t="shared" si="110"/>
        <v>0.25</v>
      </c>
      <c r="O536" s="180">
        <f t="shared" si="105"/>
        <v>0.25</v>
      </c>
      <c r="P536" s="87" t="s">
        <v>334</v>
      </c>
      <c r="Q536" s="90">
        <f t="shared" si="106"/>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107"/>
        <v>modesg_out_sfics_taxon_europeianome_general_specific_purpose</v>
      </c>
      <c r="B537" s="67" t="s">
        <v>26</v>
      </c>
      <c r="C537" s="68" t="s">
        <v>310</v>
      </c>
      <c r="D537" s="64" t="s">
        <v>40</v>
      </c>
      <c r="E537" s="66" t="s">
        <v>2137</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108"/>
        <v>1.0125</v>
      </c>
      <c r="K537" s="186">
        <f>SUMIFS(Table1[Horas efetivas],Table1[Tabela],Plano_V3!E537,Table1[Campo],Plano_V3!F537)</f>
        <v>2.0249999999999999</v>
      </c>
      <c r="L537" s="186">
        <f t="shared" si="109"/>
        <v>0.25312499999999999</v>
      </c>
      <c r="M537" s="180"/>
      <c r="N537" s="180">
        <f t="shared" si="110"/>
        <v>0.25</v>
      </c>
      <c r="O537" s="180">
        <f t="shared" si="105"/>
        <v>0.25</v>
      </c>
      <c r="P537" s="87" t="s">
        <v>334</v>
      </c>
      <c r="Q537" s="90">
        <f t="shared" si="106"/>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107"/>
        <v>modesg_out_sfics_taxon_europeianome_purpose_esg_alinh_tax</v>
      </c>
      <c r="B538" s="67" t="s">
        <v>26</v>
      </c>
      <c r="C538" s="68" t="s">
        <v>310</v>
      </c>
      <c r="D538" s="64" t="s">
        <v>40</v>
      </c>
      <c r="E538" s="66" t="s">
        <v>2137</v>
      </c>
      <c r="F538" s="64" t="s">
        <v>2115</v>
      </c>
      <c r="G538" s="64" t="str">
        <f>INDEX(Auxiliar!$B$16:$B$24,MATCH(Plano_V3!H538,Auxiliar!$C$16:$C$24,0),1)</f>
        <v>4. Validação EF</v>
      </c>
      <c r="H538" s="64">
        <f>VLOOKUP(A538,'Aux - pivots1'!$A:$B,2,0)</f>
        <v>5</v>
      </c>
      <c r="I538" s="186">
        <f>SUMIFS(Table1[Estimação (horas)],Table1[Tabela],Plano_V3!E538,Table1[Campo],Plano_V3!F538)</f>
        <v>8.1</v>
      </c>
      <c r="J538" s="186">
        <f t="shared" ref="J538" si="111">I538/8</f>
        <v>1.0125</v>
      </c>
      <c r="K538" s="186">
        <f>SUMIFS(Table1[Horas efetivas],Table1[Tabela],Plano_V3!E538,Table1[Campo],Plano_V3!F538)</f>
        <v>2.0249999999999999</v>
      </c>
      <c r="L538" s="186">
        <f t="shared" ref="L538" si="112">K538/8</f>
        <v>0.25312499999999999</v>
      </c>
      <c r="M538" s="180"/>
      <c r="N538" s="180">
        <f t="shared" ref="N538" si="113">L538/J538</f>
        <v>0.25</v>
      </c>
      <c r="O538" s="180">
        <f t="shared" ref="O538" si="114">N538-M538</f>
        <v>0.25</v>
      </c>
      <c r="P538" s="87" t="s">
        <v>334</v>
      </c>
      <c r="Q538" s="90">
        <f t="shared" ref="Q538" si="115">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107"/>
        <v>modesg_out_sfics_taxon_europeianome_purpose_esg_nalinh_tax</v>
      </c>
      <c r="B539" s="67" t="s">
        <v>26</v>
      </c>
      <c r="C539" s="68" t="s">
        <v>310</v>
      </c>
      <c r="D539" s="64" t="s">
        <v>40</v>
      </c>
      <c r="E539" s="66" t="s">
        <v>2137</v>
      </c>
      <c r="F539" s="64" t="s">
        <v>2116</v>
      </c>
      <c r="G539" s="64" t="str">
        <f>INDEX(Auxiliar!$B$16:$B$24,MATCH(Plano_V3!H539,Auxiliar!$C$16:$C$24,0),1)</f>
        <v>4. Validação EF</v>
      </c>
      <c r="H539" s="64">
        <f>VLOOKUP(A539,'Aux - pivots1'!$A:$B,2,0)</f>
        <v>5</v>
      </c>
      <c r="I539" s="186">
        <f>SUMIFS(Table1[Estimação (horas)],Table1[Tabela],Plano_V3!E539,Table1[Campo],Plano_V3!F539)</f>
        <v>8.1</v>
      </c>
      <c r="J539" s="186">
        <f t="shared" si="108"/>
        <v>1.0125</v>
      </c>
      <c r="K539" s="186">
        <f>SUMIFS(Table1[Horas efetivas],Table1[Tabela],Plano_V3!E539,Table1[Campo],Plano_V3!F539)</f>
        <v>2.0249999999999999</v>
      </c>
      <c r="L539" s="186">
        <f t="shared" si="109"/>
        <v>0.25312499999999999</v>
      </c>
      <c r="M539" s="180"/>
      <c r="N539" s="180">
        <f t="shared" si="110"/>
        <v>0.25</v>
      </c>
      <c r="O539" s="180">
        <f t="shared" si="105"/>
        <v>0.25</v>
      </c>
      <c r="P539" s="87" t="s">
        <v>334</v>
      </c>
      <c r="Q539" s="90">
        <f t="shared" si="106"/>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107"/>
        <v>modesg_out_sfics_taxon_europeianome_specific_eligible</v>
      </c>
      <c r="B540" s="67" t="s">
        <v>26</v>
      </c>
      <c r="C540" s="68" t="s">
        <v>310</v>
      </c>
      <c r="D540" s="64" t="s">
        <v>40</v>
      </c>
      <c r="E540" s="66" t="s">
        <v>2137</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108"/>
        <v>1.0125</v>
      </c>
      <c r="K540" s="186">
        <f>SUMIFS(Table1[Horas efetivas],Table1[Tabela],Plano_V3!E540,Table1[Campo],Plano_V3!F540)</f>
        <v>2.0249999999999999</v>
      </c>
      <c r="L540" s="186">
        <f t="shared" si="109"/>
        <v>0.25312499999999999</v>
      </c>
      <c r="M540" s="180"/>
      <c r="N540" s="180">
        <f t="shared" si="110"/>
        <v>0.25</v>
      </c>
      <c r="O540" s="180">
        <f t="shared" si="105"/>
        <v>0.25</v>
      </c>
      <c r="P540" s="87" t="s">
        <v>334</v>
      </c>
      <c r="Q540" s="90">
        <f t="shared" si="106"/>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107"/>
        <v>modesg_out_sfics_taxon_europeianome_specific_sustainable</v>
      </c>
      <c r="B541" s="67" t="s">
        <v>26</v>
      </c>
      <c r="C541" s="68" t="s">
        <v>310</v>
      </c>
      <c r="D541" s="64" t="s">
        <v>40</v>
      </c>
      <c r="E541" s="66" t="s">
        <v>2137</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108"/>
        <v>1.0125</v>
      </c>
      <c r="K541" s="186">
        <f>SUMIFS(Table1[Horas efetivas],Table1[Tabela],Plano_V3!E541,Table1[Campo],Plano_V3!F541)</f>
        <v>2.0249999999999999</v>
      </c>
      <c r="L541" s="186">
        <f t="shared" si="109"/>
        <v>0.25312499999999999</v>
      </c>
      <c r="M541" s="180"/>
      <c r="N541" s="180">
        <f t="shared" si="110"/>
        <v>0.25</v>
      </c>
      <c r="O541" s="180">
        <f t="shared" si="105"/>
        <v>0.25</v>
      </c>
      <c r="P541" s="87" t="s">
        <v>334</v>
      </c>
      <c r="Q541" s="90">
        <f t="shared" si="106"/>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107"/>
        <v>modesg_out_sfics_taxon_europeiaorigem</v>
      </c>
      <c r="B542" s="67" t="s">
        <v>26</v>
      </c>
      <c r="C542" s="68" t="s">
        <v>310</v>
      </c>
      <c r="D542" s="64" t="s">
        <v>40</v>
      </c>
      <c r="E542" s="66" t="s">
        <v>2137</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108"/>
        <v>0.51249999999999996</v>
      </c>
      <c r="K542" s="186">
        <f>SUMIFS(Table1[Horas efetivas],Table1[Tabela],Plano_V3!E542,Table1[Campo],Plano_V3!F542)</f>
        <v>4.0999999999999996</v>
      </c>
      <c r="L542" s="186">
        <f t="shared" si="109"/>
        <v>0.51249999999999996</v>
      </c>
      <c r="M542" s="180"/>
      <c r="N542" s="180">
        <f t="shared" si="110"/>
        <v>1</v>
      </c>
      <c r="O542" s="180">
        <f t="shared" si="105"/>
        <v>1</v>
      </c>
      <c r="P542" s="87" t="s">
        <v>334</v>
      </c>
      <c r="Q542" s="90">
        <f t="shared" si="10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107"/>
        <v>modesg_out_sfics_taxon_europeiaref_date</v>
      </c>
      <c r="B543" s="67" t="s">
        <v>26</v>
      </c>
      <c r="C543" s="68" t="s">
        <v>310</v>
      </c>
      <c r="D543" s="64" t="s">
        <v>40</v>
      </c>
      <c r="E543" s="66" t="s">
        <v>2137</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108"/>
        <v>0.51249999999999996</v>
      </c>
      <c r="K543" s="186">
        <f>SUMIFS(Table1[Horas efetivas],Table1[Tabela],Plano_V3!E543,Table1[Campo],Plano_V3!F543)</f>
        <v>1.0249999999999999</v>
      </c>
      <c r="L543" s="186">
        <f t="shared" si="109"/>
        <v>0.12812499999999999</v>
      </c>
      <c r="M543" s="180"/>
      <c r="N543" s="180">
        <f t="shared" si="110"/>
        <v>0.25</v>
      </c>
      <c r="O543" s="180">
        <f t="shared" si="105"/>
        <v>0.25</v>
      </c>
      <c r="P543" s="87" t="s">
        <v>334</v>
      </c>
      <c r="Q543" s="90">
        <f t="shared" si="10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107"/>
        <v>modesg_out_sfics_taxon_europeiazdeposit</v>
      </c>
      <c r="B544" s="67" t="s">
        <v>26</v>
      </c>
      <c r="C544" s="68" t="s">
        <v>310</v>
      </c>
      <c r="D544" s="64" t="s">
        <v>40</v>
      </c>
      <c r="E544" s="66" t="s">
        <v>2137</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108"/>
        <v>1.0125</v>
      </c>
      <c r="K544" s="186">
        <f>SUMIFS(Table1[Horas efetivas],Table1[Tabela],Plano_V3!E544,Table1[Campo],Plano_V3!F544)</f>
        <v>2.0249999999999999</v>
      </c>
      <c r="L544" s="186">
        <f t="shared" si="109"/>
        <v>0.25312499999999999</v>
      </c>
      <c r="M544" s="180"/>
      <c r="N544" s="180">
        <f t="shared" si="110"/>
        <v>0.25</v>
      </c>
      <c r="O544" s="180">
        <f t="shared" si="105"/>
        <v>0.25</v>
      </c>
      <c r="P544" s="87" t="s">
        <v>334</v>
      </c>
      <c r="Q544" s="90">
        <f t="shared" si="106"/>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107"/>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110"/>
        <v>#N/A</v>
      </c>
      <c r="O545" s="180" t="e">
        <f t="shared" si="105"/>
        <v>#N/A</v>
      </c>
      <c r="P545" s="87"/>
      <c r="Q545" s="90" t="e">
        <f t="shared" si="106"/>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116">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105"/>
        <v>#N/A</v>
      </c>
      <c r="P546" s="192" t="s">
        <v>1872</v>
      </c>
      <c r="Q546" s="90" t="e">
        <f t="shared" si="106"/>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116"/>
        <v>lt003_entitynace_esg</v>
      </c>
      <c r="B547" s="67" t="s">
        <v>26</v>
      </c>
      <c r="C547" s="68" t="s">
        <v>26</v>
      </c>
      <c r="D547" s="64" t="s">
        <v>40</v>
      </c>
      <c r="E547" s="70" t="s">
        <v>335</v>
      </c>
      <c r="F547" s="71" t="s">
        <v>336</v>
      </c>
      <c r="G547" s="64" t="str">
        <f>INDEX(Auxiliar!$B$16:$B$24,MATCH(Plano_V3!H547,Auxiliar!$C$16:$C$24,0),1)</f>
        <v>2.2 Em Re-especificação</v>
      </c>
      <c r="H547" s="64">
        <f>VLOOKUP(A547,'Aux - pivots1'!$A:$B,2,0)</f>
        <v>3</v>
      </c>
      <c r="I547" s="178">
        <f>SUMIFS(Table1[Estimação (horas)],Table1[Tabela],Plano_V3!E547,Table1[Campo],Plano_V3!F547)</f>
        <v>4.0999999999999996</v>
      </c>
      <c r="J547" s="178">
        <f t="shared" ref="J547:J678" si="117">I547/8</f>
        <v>0.51249999999999996</v>
      </c>
      <c r="K547" s="178">
        <f>SUMIFS(Table1[Horas efetivas],Table1[Tabela],Plano_V3!E547,Table1[Campo],Plano_V3!F547)</f>
        <v>1.0249999999999999</v>
      </c>
      <c r="L547" s="178">
        <f t="shared" ref="L547:L678" si="118">K547/8</f>
        <v>0.12812499999999999</v>
      </c>
      <c r="M547" s="180"/>
      <c r="N547" s="180">
        <f t="shared" ref="N547:N678" si="119">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16"/>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117"/>
        <v>0.51249999999999996</v>
      </c>
      <c r="K548" s="178">
        <f>SUMIFS(Table1[Horas efetivas],Table1[Tabela],Plano_V3!E548,Table1[Campo],Plano_V3!F548)</f>
        <v>4.0999999999999996</v>
      </c>
      <c r="L548" s="178">
        <f t="shared" si="118"/>
        <v>0.51249999999999996</v>
      </c>
      <c r="M548" s="180"/>
      <c r="N548" s="180">
        <f t="shared" si="119"/>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16"/>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117"/>
        <v>0.51249999999999996</v>
      </c>
      <c r="K549" s="178">
        <f>SUMIFS(Table1[Horas efetivas],Table1[Tabela],Plano_V3!E549,Table1[Campo],Plano_V3!F549)</f>
        <v>4.0999999999999996</v>
      </c>
      <c r="L549" s="178">
        <f t="shared" si="118"/>
        <v>0.51249999999999996</v>
      </c>
      <c r="M549" s="180"/>
      <c r="N549" s="180">
        <f t="shared" si="119"/>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16"/>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117"/>
        <v>0.51249999999999996</v>
      </c>
      <c r="K550" s="178">
        <f>SUMIFS(Table1[Horas efetivas],Table1[Tabela],Plano_V3!E550,Table1[Campo],Plano_V3!F550)</f>
        <v>4.0999999999999996</v>
      </c>
      <c r="L550" s="178">
        <f t="shared" si="118"/>
        <v>0.51249999999999996</v>
      </c>
      <c r="M550" s="180"/>
      <c r="N550" s="180">
        <f t="shared" si="119"/>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16"/>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117"/>
        <v>0.51249999999999996</v>
      </c>
      <c r="K551" s="178">
        <f>SUMIFS(Table1[Horas efetivas],Table1[Tabela],Plano_V3!E551,Table1[Campo],Plano_V3!F551)</f>
        <v>4.0999999999999996</v>
      </c>
      <c r="L551" s="178">
        <f t="shared" si="118"/>
        <v>0.51249999999999996</v>
      </c>
      <c r="M551" s="180"/>
      <c r="N551" s="180">
        <f t="shared" si="119"/>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16"/>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117"/>
        <v>0.51249999999999996</v>
      </c>
      <c r="K552" s="178">
        <f>SUMIFS(Table1[Horas efetivas],Table1[Tabela],Plano_V3!E552,Table1[Campo],Plano_V3!F552)</f>
        <v>4.0999999999999996</v>
      </c>
      <c r="L552" s="178">
        <f t="shared" si="118"/>
        <v>0.51249999999999996</v>
      </c>
      <c r="M552" s="180"/>
      <c r="N552" s="180">
        <f t="shared" si="119"/>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16"/>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117"/>
        <v>0.51249999999999996</v>
      </c>
      <c r="K553" s="178">
        <f>SUMIFS(Table1[Horas efetivas],Table1[Tabela],Plano_V3!E553,Table1[Campo],Plano_V3!F553)</f>
        <v>4.0999999999999996</v>
      </c>
      <c r="L553" s="178">
        <f t="shared" si="118"/>
        <v>0.51249999999999996</v>
      </c>
      <c r="M553" s="180"/>
      <c r="N553" s="180">
        <f t="shared" si="119"/>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16"/>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117"/>
        <v>0.51249999999999996</v>
      </c>
      <c r="K554" s="178">
        <f>SUMIFS(Table1[Horas efetivas],Table1[Tabela],Plano_V3!E554,Table1[Campo],Plano_V3!F554)</f>
        <v>4.0999999999999996</v>
      </c>
      <c r="L554" s="178">
        <f t="shared" si="118"/>
        <v>0.51249999999999996</v>
      </c>
      <c r="M554" s="180"/>
      <c r="N554" s="180">
        <f t="shared" si="119"/>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16"/>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117"/>
        <v>0.51249999999999996</v>
      </c>
      <c r="K555" s="178">
        <f>SUMIFS(Table1[Horas efetivas],Table1[Tabela],Plano_V3!E555,Table1[Campo],Plano_V3!F555)</f>
        <v>4.0999999999999996</v>
      </c>
      <c r="L555" s="178">
        <f t="shared" si="118"/>
        <v>0.51249999999999996</v>
      </c>
      <c r="M555" s="180"/>
      <c r="N555" s="180">
        <f t="shared" si="119"/>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16"/>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117"/>
        <v>0.51249999999999996</v>
      </c>
      <c r="K556" s="178">
        <f>SUMIFS(Table1[Horas efetivas],Table1[Tabela],Plano_V3!E556,Table1[Campo],Plano_V3!F556)</f>
        <v>4.0999999999999996</v>
      </c>
      <c r="L556" s="178">
        <f t="shared" si="118"/>
        <v>0.51249999999999996</v>
      </c>
      <c r="M556" s="180"/>
      <c r="N556" s="180">
        <f t="shared" si="119"/>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116"/>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117"/>
        <v>0.51249999999999996</v>
      </c>
      <c r="K557" s="178">
        <f>SUMIFS(Table1[Horas efetivas],Table1[Tabela],Plano_V3!E557,Table1[Campo],Plano_V3!F557)</f>
        <v>4.0999999999999996</v>
      </c>
      <c r="L557" s="178">
        <f t="shared" si="118"/>
        <v>0.51249999999999996</v>
      </c>
      <c r="M557" s="180"/>
      <c r="N557" s="180">
        <f t="shared" si="119"/>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116"/>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117"/>
        <v>0.51249999999999996</v>
      </c>
      <c r="K558" s="178">
        <f>SUMIFS(Table1[Horas efetivas],Table1[Tabela],Plano_V3!E558,Table1[Campo],Plano_V3!F558)</f>
        <v>4.0999999999999996</v>
      </c>
      <c r="L558" s="178">
        <f t="shared" si="118"/>
        <v>0.51249999999999996</v>
      </c>
      <c r="M558" s="180"/>
      <c r="N558" s="180">
        <f t="shared" si="119"/>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16"/>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117"/>
        <v>0.51249999999999996</v>
      </c>
      <c r="K559" s="178">
        <f>SUMIFS(Table1[Horas efetivas],Table1[Tabela],Plano_V3!E559,Table1[Campo],Plano_V3!F559)</f>
        <v>4.0999999999999996</v>
      </c>
      <c r="L559" s="178">
        <f t="shared" si="118"/>
        <v>0.51249999999999996</v>
      </c>
      <c r="M559" s="180"/>
      <c r="N559" s="180">
        <f t="shared" si="119"/>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16"/>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117"/>
        <v>0.51249999999999996</v>
      </c>
      <c r="K560" s="178">
        <f>SUMIFS(Table1[Horas efetivas],Table1[Tabela],Plano_V3!E560,Table1[Campo],Plano_V3!F560)</f>
        <v>4.0999999999999996</v>
      </c>
      <c r="L560" s="178">
        <f t="shared" si="118"/>
        <v>0.51249999999999996</v>
      </c>
      <c r="M560" s="180"/>
      <c r="N560" s="180">
        <f t="shared" si="119"/>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16"/>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117"/>
        <v>0.51249999999999996</v>
      </c>
      <c r="K561" s="178">
        <f>SUMIFS(Table1[Horas efetivas],Table1[Tabela],Plano_V3!E561,Table1[Campo],Plano_V3!F561)</f>
        <v>4.0999999999999996</v>
      </c>
      <c r="L561" s="178">
        <f t="shared" si="118"/>
        <v>0.51249999999999996</v>
      </c>
      <c r="M561" s="180"/>
      <c r="N561" s="180">
        <f t="shared" si="119"/>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16"/>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117"/>
        <v>0.51249999999999996</v>
      </c>
      <c r="K562" s="178">
        <f>SUMIFS(Table1[Horas efetivas],Table1[Tabela],Plano_V3!E562,Table1[Campo],Plano_V3!F562)</f>
        <v>4.0999999999999996</v>
      </c>
      <c r="L562" s="178">
        <f t="shared" si="118"/>
        <v>0.51249999999999996</v>
      </c>
      <c r="M562" s="180"/>
      <c r="N562" s="180">
        <f t="shared" si="119"/>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16"/>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117"/>
        <v>0.51249999999999996</v>
      </c>
      <c r="K563" s="178">
        <f>SUMIFS(Table1[Horas efetivas],Table1[Tabela],Plano_V3!E563,Table1[Campo],Plano_V3!F563)</f>
        <v>4.0999999999999996</v>
      </c>
      <c r="L563" s="178">
        <f t="shared" si="118"/>
        <v>0.51249999999999996</v>
      </c>
      <c r="M563" s="180"/>
      <c r="N563" s="180">
        <f t="shared" si="119"/>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16"/>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117"/>
        <v>0.51249999999999996</v>
      </c>
      <c r="K564" s="178">
        <f>SUMIFS(Table1[Horas efetivas],Table1[Tabela],Plano_V3!E564,Table1[Campo],Plano_V3!F564)</f>
        <v>4.0999999999999996</v>
      </c>
      <c r="L564" s="178">
        <f t="shared" si="118"/>
        <v>0.51249999999999996</v>
      </c>
      <c r="M564" s="180"/>
      <c r="N564" s="180">
        <f t="shared" si="119"/>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16"/>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117"/>
        <v>0.51249999999999996</v>
      </c>
      <c r="K565" s="178">
        <f>SUMIFS(Table1[Horas efetivas],Table1[Tabela],Plano_V3!E565,Table1[Campo],Plano_V3!F565)</f>
        <v>4.0999999999999996</v>
      </c>
      <c r="L565" s="178">
        <f t="shared" si="118"/>
        <v>0.51249999999999996</v>
      </c>
      <c r="M565" s="180"/>
      <c r="N565" s="180">
        <f t="shared" si="119"/>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16"/>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117"/>
        <v>0.51249999999999996</v>
      </c>
      <c r="K566" s="178">
        <f>SUMIFS(Table1[Horas efetivas],Table1[Tabela],Plano_V3!E566,Table1[Campo],Plano_V3!F566)</f>
        <v>4.0999999999999996</v>
      </c>
      <c r="L566" s="178">
        <f t="shared" si="118"/>
        <v>0.51249999999999996</v>
      </c>
      <c r="M566" s="180"/>
      <c r="N566" s="180">
        <f t="shared" si="119"/>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16"/>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117"/>
        <v>0.51249999999999996</v>
      </c>
      <c r="K567" s="178">
        <f>SUMIFS(Table1[Horas efetivas],Table1[Tabela],Plano_V3!E567,Table1[Campo],Plano_V3!F567)</f>
        <v>1.0249999999999999</v>
      </c>
      <c r="L567" s="178">
        <f t="shared" si="118"/>
        <v>0.12812499999999999</v>
      </c>
      <c r="M567" s="180"/>
      <c r="N567" s="180">
        <f t="shared" si="119"/>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16"/>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117"/>
        <v>0.51249999999999996</v>
      </c>
      <c r="K568" s="178">
        <f>SUMIFS(Table1[Horas efetivas],Table1[Tabela],Plano_V3!E568,Table1[Campo],Plano_V3!F568)</f>
        <v>1.0249999999999999</v>
      </c>
      <c r="L568" s="178">
        <f t="shared" si="118"/>
        <v>0.12812499999999999</v>
      </c>
      <c r="M568" s="180"/>
      <c r="N568" s="180">
        <f t="shared" si="119"/>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16"/>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117"/>
        <v>0.51249999999999996</v>
      </c>
      <c r="K569" s="178">
        <f>SUMIFS(Table1[Horas efetivas],Table1[Tabela],Plano_V3!E569,Table1[Campo],Plano_V3!F569)</f>
        <v>4.0999999999999996</v>
      </c>
      <c r="L569" s="178">
        <f t="shared" si="118"/>
        <v>0.51249999999999996</v>
      </c>
      <c r="M569" s="180"/>
      <c r="N569" s="180">
        <f t="shared" si="119"/>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16"/>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117"/>
        <v>0.51249999999999996</v>
      </c>
      <c r="K570" s="178">
        <f>SUMIFS(Table1[Horas efetivas],Table1[Tabela],Plano_V3!E570,Table1[Campo],Plano_V3!F570)</f>
        <v>1.0249999999999999</v>
      </c>
      <c r="L570" s="178">
        <f t="shared" si="118"/>
        <v>0.12812499999999999</v>
      </c>
      <c r="M570" s="180"/>
      <c r="N570" s="180">
        <f t="shared" si="119"/>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16"/>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117"/>
        <v>0.51249999999999996</v>
      </c>
      <c r="K571" s="178">
        <f>SUMIFS(Table1[Horas efetivas],Table1[Tabela],Plano_V3!E571,Table1[Campo],Plano_V3!F571)</f>
        <v>4.0999999999999996</v>
      </c>
      <c r="L571" s="178">
        <f t="shared" si="118"/>
        <v>0.51249999999999996</v>
      </c>
      <c r="M571" s="180"/>
      <c r="N571" s="180">
        <f t="shared" si="119"/>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16"/>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117"/>
        <v>0.51249999999999996</v>
      </c>
      <c r="K572" s="178">
        <f>SUMIFS(Table1[Horas efetivas],Table1[Tabela],Plano_V3!E572,Table1[Campo],Plano_V3!F572)</f>
        <v>4.0999999999999996</v>
      </c>
      <c r="L572" s="178">
        <f t="shared" si="118"/>
        <v>0.51249999999999996</v>
      </c>
      <c r="M572" s="180"/>
      <c r="N572" s="180">
        <f t="shared" si="119"/>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16"/>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117"/>
        <v>0.51249999999999996</v>
      </c>
      <c r="K573" s="178">
        <f>SUMIFS(Table1[Horas efetivas],Table1[Tabela],Plano_V3!E573,Table1[Campo],Plano_V3!F573)</f>
        <v>4.0999999999999996</v>
      </c>
      <c r="L573" s="178">
        <f t="shared" si="118"/>
        <v>0.51249999999999996</v>
      </c>
      <c r="M573" s="180"/>
      <c r="N573" s="180">
        <f t="shared" si="119"/>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16"/>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117"/>
        <v>0.51249999999999996</v>
      </c>
      <c r="K574" s="178">
        <f>SUMIFS(Table1[Horas efetivas],Table1[Tabela],Plano_V3!E574,Table1[Campo],Plano_V3!F574)</f>
        <v>4.0999999999999996</v>
      </c>
      <c r="L574" s="178">
        <f t="shared" si="118"/>
        <v>0.51249999999999996</v>
      </c>
      <c r="M574" s="180"/>
      <c r="N574" s="180">
        <f t="shared" si="119"/>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16"/>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117"/>
        <v>0.51249999999999996</v>
      </c>
      <c r="K575" s="178">
        <f>SUMIFS(Table1[Horas efetivas],Table1[Tabela],Plano_V3!E575,Table1[Campo],Plano_V3!F575)</f>
        <v>4.0999999999999996</v>
      </c>
      <c r="L575" s="178">
        <f t="shared" si="118"/>
        <v>0.51249999999999996</v>
      </c>
      <c r="M575" s="180"/>
      <c r="N575" s="180">
        <f t="shared" si="119"/>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16"/>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117"/>
        <v>0.51249999999999996</v>
      </c>
      <c r="K576" s="178">
        <f>SUMIFS(Table1[Horas efetivas],Table1[Tabela],Plano_V3!E576,Table1[Campo],Plano_V3!F576)</f>
        <v>4.0999999999999996</v>
      </c>
      <c r="L576" s="178">
        <f t="shared" si="118"/>
        <v>0.51249999999999996</v>
      </c>
      <c r="M576" s="180"/>
      <c r="N576" s="180">
        <f t="shared" si="119"/>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120">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117"/>
        <v>0.51249999999999996</v>
      </c>
      <c r="K577" s="178">
        <f>SUMIFS(Table1[Horas efetivas],Table1[Tabela],Plano_V3!E577,Table1[Campo],Plano_V3!F577)</f>
        <v>4.0999999999999996</v>
      </c>
      <c r="L577" s="178">
        <f t="shared" si="118"/>
        <v>0.51249999999999996</v>
      </c>
      <c r="M577" s="180"/>
      <c r="N577" s="180">
        <f t="shared" si="119"/>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20"/>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117"/>
        <v>0.51249999999999996</v>
      </c>
      <c r="K578" s="178">
        <f>SUMIFS(Table1[Horas efetivas],Table1[Tabela],Plano_V3!E578,Table1[Campo],Plano_V3!F578)</f>
        <v>4.0999999999999996</v>
      </c>
      <c r="L578" s="178">
        <f t="shared" si="118"/>
        <v>0.51249999999999996</v>
      </c>
      <c r="M578" s="180"/>
      <c r="N578" s="180">
        <f t="shared" si="119"/>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20"/>
        <v>lt003_entityentty_nm</v>
      </c>
      <c r="B579" s="67" t="s">
        <v>26</v>
      </c>
      <c r="C579" s="68" t="s">
        <v>26</v>
      </c>
      <c r="D579" s="64" t="s">
        <v>40</v>
      </c>
      <c r="E579" s="70" t="s">
        <v>335</v>
      </c>
      <c r="F579" s="430" t="s">
        <v>2256</v>
      </c>
      <c r="G579" s="64" t="str">
        <f>INDEX(Auxiliar!$B$16:$B$24,MATCH(Plano_V3!H579,Auxiliar!$C$16:$C$24,0),1)</f>
        <v>7. Por iniciar</v>
      </c>
      <c r="H579" s="64">
        <f>VLOOKUP(A579,'Aux - pivots1'!$A:$B,2,0)</f>
        <v>8</v>
      </c>
      <c r="I579" s="178">
        <f>SUMIFS(Table1[Estimação (horas)],Table1[Tabela],Plano_V3!E579,Table1[Campo],Plano_V3!F579)</f>
        <v>1</v>
      </c>
      <c r="J579" s="178">
        <f t="shared" ref="J579:J602" si="121">I579/8</f>
        <v>0.125</v>
      </c>
      <c r="K579" s="178">
        <f>SUMIFS(Table1[Horas efetivas],Table1[Tabela],Plano_V3!E579,Table1[Campo],Plano_V3!F579)</f>
        <v>0</v>
      </c>
      <c r="L579" s="178">
        <f t="shared" ref="L579:L602" si="122">K579/8</f>
        <v>0</v>
      </c>
      <c r="M579" s="180"/>
      <c r="N579" s="180">
        <f t="shared" ref="N579:N602" si="123">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20"/>
        <v>lt003_entityec_grp_id</v>
      </c>
      <c r="B580" s="67" t="s">
        <v>26</v>
      </c>
      <c r="C580" s="68" t="s">
        <v>26</v>
      </c>
      <c r="D580" s="64" t="s">
        <v>40</v>
      </c>
      <c r="E580" s="70" t="s">
        <v>335</v>
      </c>
      <c r="F580" s="430" t="s">
        <v>2257</v>
      </c>
      <c r="G580" s="64" t="str">
        <f>INDEX(Auxiliar!$B$16:$B$24,MATCH(Plano_V3!H580,Auxiliar!$C$16:$C$24,0),1)</f>
        <v>7. Por iniciar</v>
      </c>
      <c r="H580" s="64">
        <f>VLOOKUP(A580,'Aux - pivots1'!$A:$B,2,0)</f>
        <v>8</v>
      </c>
      <c r="I580" s="178">
        <f>SUMIFS(Table1[Estimação (horas)],Table1[Tabela],Plano_V3!E580,Table1[Campo],Plano_V3!F580)</f>
        <v>1</v>
      </c>
      <c r="J580" s="178">
        <f t="shared" si="121"/>
        <v>0.125</v>
      </c>
      <c r="K580" s="178">
        <f>SUMIFS(Table1[Horas efetivas],Table1[Tabela],Plano_V3!E580,Table1[Campo],Plano_V3!F580)</f>
        <v>0</v>
      </c>
      <c r="L580" s="178">
        <f t="shared" si="122"/>
        <v>0</v>
      </c>
      <c r="M580" s="180"/>
      <c r="N580" s="180">
        <f t="shared" si="123"/>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20"/>
        <v>lt003_entityec_grp_nm</v>
      </c>
      <c r="B581" s="67" t="s">
        <v>26</v>
      </c>
      <c r="C581" s="68" t="s">
        <v>26</v>
      </c>
      <c r="D581" s="64" t="s">
        <v>40</v>
      </c>
      <c r="E581" s="70" t="s">
        <v>335</v>
      </c>
      <c r="F581" s="430" t="s">
        <v>2258</v>
      </c>
      <c r="G581" s="64" t="str">
        <f>INDEX(Auxiliar!$B$16:$B$24,MATCH(Plano_V3!H581,Auxiliar!$C$16:$C$24,0),1)</f>
        <v>7. Por iniciar</v>
      </c>
      <c r="H581" s="64">
        <f>VLOOKUP(A581,'Aux - pivots1'!$A:$B,2,0)</f>
        <v>8</v>
      </c>
      <c r="I581" s="178">
        <f>SUMIFS(Table1[Estimação (horas)],Table1[Tabela],Plano_V3!E581,Table1[Campo],Plano_V3!F581)</f>
        <v>1</v>
      </c>
      <c r="J581" s="178">
        <f t="shared" si="121"/>
        <v>0.125</v>
      </c>
      <c r="K581" s="178">
        <f>SUMIFS(Table1[Horas efetivas],Table1[Tabela],Plano_V3!E581,Table1[Campo],Plano_V3!F581)</f>
        <v>0</v>
      </c>
      <c r="L581" s="178">
        <f t="shared" si="122"/>
        <v>0</v>
      </c>
      <c r="M581" s="180"/>
      <c r="N581" s="180">
        <f t="shared" si="123"/>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20"/>
        <v>lt003_entitygrp_ecnmc_actvty</v>
      </c>
      <c r="B582" s="67" t="s">
        <v>26</v>
      </c>
      <c r="C582" s="68" t="s">
        <v>26</v>
      </c>
      <c r="D582" s="64" t="s">
        <v>40</v>
      </c>
      <c r="E582" s="70" t="s">
        <v>335</v>
      </c>
      <c r="F582" s="430" t="s">
        <v>2259</v>
      </c>
      <c r="G582" s="64" t="str">
        <f>INDEX(Auxiliar!$B$16:$B$24,MATCH(Plano_V3!H582,Auxiliar!$C$16:$C$24,0),1)</f>
        <v>7. Por iniciar</v>
      </c>
      <c r="H582" s="64">
        <f>VLOOKUP(A582,'Aux - pivots1'!$A:$B,2,0)</f>
        <v>8</v>
      </c>
      <c r="I582" s="178">
        <f>SUMIFS(Table1[Estimação (horas)],Table1[Tabela],Plano_V3!E582,Table1[Campo],Plano_V3!F582)</f>
        <v>1</v>
      </c>
      <c r="J582" s="178">
        <f t="shared" si="121"/>
        <v>0.125</v>
      </c>
      <c r="K582" s="178">
        <f>SUMIFS(Table1[Horas efetivas],Table1[Tabela],Plano_V3!E582,Table1[Campo],Plano_V3!F582)</f>
        <v>0</v>
      </c>
      <c r="L582" s="178">
        <f t="shared" si="122"/>
        <v>0</v>
      </c>
      <c r="M582" s="180"/>
      <c r="N582" s="180">
        <f t="shared" si="123"/>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20"/>
        <v>lt003_entitytxnmy_elgbl_capex_w</v>
      </c>
      <c r="B583" s="67" t="s">
        <v>26</v>
      </c>
      <c r="C583" s="68" t="s">
        <v>26</v>
      </c>
      <c r="D583" s="64" t="s">
        <v>40</v>
      </c>
      <c r="E583" s="70" t="s">
        <v>335</v>
      </c>
      <c r="F583" s="430" t="s">
        <v>2260</v>
      </c>
      <c r="G583" s="64" t="str">
        <f>INDEX(Auxiliar!$B$16:$B$24,MATCH(Plano_V3!H583,Auxiliar!$C$16:$C$24,0),1)</f>
        <v>1. Concluído</v>
      </c>
      <c r="H583" s="64">
        <f>VLOOKUP(A583,'Aux - pivots1'!$A:$B,2,0)</f>
        <v>1</v>
      </c>
      <c r="I583" s="178">
        <f>SUMIFS(Table1[Estimação (horas)],Table1[Tabela],Plano_V3!E583,Table1[Campo],Plano_V3!F583)</f>
        <v>1</v>
      </c>
      <c r="J583" s="178">
        <f t="shared" si="121"/>
        <v>0.125</v>
      </c>
      <c r="K583" s="178">
        <f>SUMIFS(Table1[Horas efetivas],Table1[Tabela],Plano_V3!E583,Table1[Campo],Plano_V3!F583)</f>
        <v>1</v>
      </c>
      <c r="L583" s="178">
        <f t="shared" si="122"/>
        <v>0.125</v>
      </c>
      <c r="M583" s="180"/>
      <c r="N583" s="180">
        <f t="shared" si="123"/>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20"/>
        <v>lt003_entitytxnmy_elgbl_trnvr_w</v>
      </c>
      <c r="B584" s="67" t="s">
        <v>26</v>
      </c>
      <c r="C584" s="68" t="s">
        <v>26</v>
      </c>
      <c r="D584" s="64" t="s">
        <v>40</v>
      </c>
      <c r="E584" s="70" t="s">
        <v>335</v>
      </c>
      <c r="F584" s="430" t="s">
        <v>2261</v>
      </c>
      <c r="G584" s="64" t="str">
        <f>INDEX(Auxiliar!$B$16:$B$24,MATCH(Plano_V3!H584,Auxiliar!$C$16:$C$24,0),1)</f>
        <v>1. Concluído</v>
      </c>
      <c r="H584" s="64">
        <f>VLOOKUP(A584,'Aux - pivots1'!$A:$B,2,0)</f>
        <v>1</v>
      </c>
      <c r="I584" s="178">
        <f>SUMIFS(Table1[Estimação (horas)],Table1[Tabela],Plano_V3!E584,Table1[Campo],Plano_V3!F584)</f>
        <v>1</v>
      </c>
      <c r="J584" s="178">
        <f t="shared" si="121"/>
        <v>0.125</v>
      </c>
      <c r="K584" s="178">
        <f>SUMIFS(Table1[Horas efetivas],Table1[Tabela],Plano_V3!E584,Table1[Campo],Plano_V3!F584)</f>
        <v>1</v>
      </c>
      <c r="L584" s="178">
        <f t="shared" si="122"/>
        <v>0.125</v>
      </c>
      <c r="M584" s="180"/>
      <c r="N584" s="180">
        <f t="shared" si="123"/>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20"/>
        <v>lt003_entitytxnmy_elgbl_capex_p</v>
      </c>
      <c r="B585" s="67" t="s">
        <v>26</v>
      </c>
      <c r="C585" s="68" t="s">
        <v>26</v>
      </c>
      <c r="D585" s="64" t="s">
        <v>40</v>
      </c>
      <c r="E585" s="70" t="s">
        <v>335</v>
      </c>
      <c r="F585" s="430" t="s">
        <v>2262</v>
      </c>
      <c r="G585" s="64" t="str">
        <f>INDEX(Auxiliar!$B$16:$B$24,MATCH(Plano_V3!H585,Auxiliar!$C$16:$C$24,0),1)</f>
        <v>1. Concluído</v>
      </c>
      <c r="H585" s="64">
        <f>VLOOKUP(A585,'Aux - pivots1'!$A:$B,2,0)</f>
        <v>1</v>
      </c>
      <c r="I585" s="178">
        <f>SUMIFS(Table1[Estimação (horas)],Table1[Tabela],Plano_V3!E585,Table1[Campo],Plano_V3!F585)</f>
        <v>1</v>
      </c>
      <c r="J585" s="178">
        <f t="shared" si="121"/>
        <v>0.125</v>
      </c>
      <c r="K585" s="178">
        <f>SUMIFS(Table1[Horas efetivas],Table1[Tabela],Plano_V3!E585,Table1[Campo],Plano_V3!F585)</f>
        <v>1</v>
      </c>
      <c r="L585" s="178">
        <f t="shared" si="122"/>
        <v>0.125</v>
      </c>
      <c r="M585" s="180"/>
      <c r="N585" s="180">
        <f t="shared" si="123"/>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20"/>
        <v>lt003_entitytxnmy_elgbl_trnvr_p</v>
      </c>
      <c r="B586" s="67" t="s">
        <v>26</v>
      </c>
      <c r="C586" s="68" t="s">
        <v>26</v>
      </c>
      <c r="D586" s="64" t="s">
        <v>40</v>
      </c>
      <c r="E586" s="70" t="s">
        <v>335</v>
      </c>
      <c r="F586" s="430" t="s">
        <v>2263</v>
      </c>
      <c r="G586" s="64" t="str">
        <f>INDEX(Auxiliar!$B$16:$B$24,MATCH(Plano_V3!H586,Auxiliar!$C$16:$C$24,0),1)</f>
        <v>1. Concluído</v>
      </c>
      <c r="H586" s="64">
        <f>VLOOKUP(A586,'Aux - pivots1'!$A:$B,2,0)</f>
        <v>1</v>
      </c>
      <c r="I586" s="178">
        <f>SUMIFS(Table1[Estimação (horas)],Table1[Tabela],Plano_V3!E586,Table1[Campo],Plano_V3!F586)</f>
        <v>1</v>
      </c>
      <c r="J586" s="178">
        <f t="shared" si="121"/>
        <v>0.125</v>
      </c>
      <c r="K586" s="178">
        <f>SUMIFS(Table1[Horas efetivas],Table1[Tabela],Plano_V3!E586,Table1[Campo],Plano_V3!F586)</f>
        <v>1</v>
      </c>
      <c r="L586" s="178">
        <f t="shared" si="122"/>
        <v>0.125</v>
      </c>
      <c r="M586" s="180"/>
      <c r="N586" s="180">
        <f t="shared" si="123"/>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20"/>
        <v>lt003_entitytxnmy_elgbl_capex_b</v>
      </c>
      <c r="B587" s="67" t="s">
        <v>26</v>
      </c>
      <c r="C587" s="68" t="s">
        <v>26</v>
      </c>
      <c r="D587" s="64" t="s">
        <v>40</v>
      </c>
      <c r="E587" s="70" t="s">
        <v>335</v>
      </c>
      <c r="F587" s="430" t="s">
        <v>2264</v>
      </c>
      <c r="G587" s="64" t="str">
        <f>INDEX(Auxiliar!$B$16:$B$24,MATCH(Plano_V3!H587,Auxiliar!$C$16:$C$24,0),1)</f>
        <v>1. Concluído</v>
      </c>
      <c r="H587" s="64">
        <f>VLOOKUP(A587,'Aux - pivots1'!$A:$B,2,0)</f>
        <v>1</v>
      </c>
      <c r="I587" s="178">
        <f>SUMIFS(Table1[Estimação (horas)],Table1[Tabela],Plano_V3!E587,Table1[Campo],Plano_V3!F587)</f>
        <v>1</v>
      </c>
      <c r="J587" s="178">
        <f t="shared" si="121"/>
        <v>0.125</v>
      </c>
      <c r="K587" s="178">
        <f>SUMIFS(Table1[Horas efetivas],Table1[Tabela],Plano_V3!E587,Table1[Campo],Plano_V3!F587)</f>
        <v>1</v>
      </c>
      <c r="L587" s="178">
        <f t="shared" si="122"/>
        <v>0.125</v>
      </c>
      <c r="M587" s="180"/>
      <c r="N587" s="180">
        <f t="shared" si="123"/>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120"/>
        <v>lt003_entitytxnmy_elgbl_trnvr_b</v>
      </c>
      <c r="B588" s="67" t="s">
        <v>26</v>
      </c>
      <c r="C588" s="68" t="s">
        <v>26</v>
      </c>
      <c r="D588" s="64" t="s">
        <v>40</v>
      </c>
      <c r="E588" s="70" t="s">
        <v>335</v>
      </c>
      <c r="F588" s="430" t="s">
        <v>2265</v>
      </c>
      <c r="G588" s="64" t="str">
        <f>INDEX(Auxiliar!$B$16:$B$24,MATCH(Plano_V3!H588,Auxiliar!$C$16:$C$24,0),1)</f>
        <v>1. Concluído</v>
      </c>
      <c r="H588" s="64">
        <f>VLOOKUP(A588,'Aux - pivots1'!$A:$B,2,0)</f>
        <v>1</v>
      </c>
      <c r="I588" s="178">
        <f>SUMIFS(Table1[Estimação (horas)],Table1[Tabela],Plano_V3!E588,Table1[Campo],Plano_V3!F588)</f>
        <v>1</v>
      </c>
      <c r="J588" s="178">
        <f t="shared" si="121"/>
        <v>0.125</v>
      </c>
      <c r="K588" s="178">
        <f>SUMIFS(Table1[Horas efetivas],Table1[Tabela],Plano_V3!E588,Table1[Campo],Plano_V3!F588)</f>
        <v>1</v>
      </c>
      <c r="L588" s="178">
        <f t="shared" si="122"/>
        <v>0.125</v>
      </c>
      <c r="M588" s="180"/>
      <c r="N588" s="180">
        <f t="shared" si="123"/>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20"/>
        <v>lt003_entitytxnmy_elgbl_capex_ce</v>
      </c>
      <c r="B589" s="67" t="s">
        <v>26</v>
      </c>
      <c r="C589" s="68" t="s">
        <v>26</v>
      </c>
      <c r="D589" s="64" t="s">
        <v>40</v>
      </c>
      <c r="E589" s="70" t="s">
        <v>335</v>
      </c>
      <c r="F589" s="430" t="s">
        <v>2266</v>
      </c>
      <c r="G589" s="64" t="str">
        <f>INDEX(Auxiliar!$B$16:$B$24,MATCH(Plano_V3!H589,Auxiliar!$C$16:$C$24,0),1)</f>
        <v>1. Concluído</v>
      </c>
      <c r="H589" s="64">
        <f>VLOOKUP(A589,'Aux - pivots1'!$A:$B,2,0)</f>
        <v>1</v>
      </c>
      <c r="I589" s="178">
        <f>SUMIFS(Table1[Estimação (horas)],Table1[Tabela],Plano_V3!E589,Table1[Campo],Plano_V3!F589)</f>
        <v>1</v>
      </c>
      <c r="J589" s="178">
        <f t="shared" si="121"/>
        <v>0.125</v>
      </c>
      <c r="K589" s="178">
        <f>SUMIFS(Table1[Horas efetivas],Table1[Tabela],Plano_V3!E589,Table1[Campo],Plano_V3!F589)</f>
        <v>1</v>
      </c>
      <c r="L589" s="178">
        <f t="shared" si="122"/>
        <v>0.125</v>
      </c>
      <c r="M589" s="180"/>
      <c r="N589" s="180">
        <f t="shared" si="123"/>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20"/>
        <v>lt003_entitytxnmy_elgbl_trnvr_ce</v>
      </c>
      <c r="B590" s="67" t="s">
        <v>26</v>
      </c>
      <c r="C590" s="68" t="s">
        <v>26</v>
      </c>
      <c r="D590" s="64" t="s">
        <v>40</v>
      </c>
      <c r="E590" s="70" t="s">
        <v>335</v>
      </c>
      <c r="F590" s="430" t="s">
        <v>2267</v>
      </c>
      <c r="G590" s="64" t="str">
        <f>INDEX(Auxiliar!$B$16:$B$24,MATCH(Plano_V3!H590,Auxiliar!$C$16:$C$24,0),1)</f>
        <v>1. Concluído</v>
      </c>
      <c r="H590" s="64">
        <f>VLOOKUP(A590,'Aux - pivots1'!$A:$B,2,0)</f>
        <v>1</v>
      </c>
      <c r="I590" s="178">
        <f>SUMIFS(Table1[Estimação (horas)],Table1[Tabela],Plano_V3!E590,Table1[Campo],Plano_V3!F590)</f>
        <v>1</v>
      </c>
      <c r="J590" s="178">
        <f t="shared" si="121"/>
        <v>0.125</v>
      </c>
      <c r="K590" s="178">
        <f>SUMIFS(Table1[Horas efetivas],Table1[Tabela],Plano_V3!E590,Table1[Campo],Plano_V3!F590)</f>
        <v>1</v>
      </c>
      <c r="L590" s="178">
        <f t="shared" si="122"/>
        <v>0.125</v>
      </c>
      <c r="M590" s="180"/>
      <c r="N590" s="180">
        <f t="shared" si="123"/>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20"/>
        <v>lt003_entitypure_capex_p</v>
      </c>
      <c r="B591" s="67" t="s">
        <v>26</v>
      </c>
      <c r="C591" s="68" t="s">
        <v>26</v>
      </c>
      <c r="D591" s="64" t="s">
        <v>40</v>
      </c>
      <c r="E591" s="70" t="s">
        <v>335</v>
      </c>
      <c r="F591" s="430" t="s">
        <v>2268</v>
      </c>
      <c r="G591" s="64" t="str">
        <f>INDEX(Auxiliar!$B$16:$B$24,MATCH(Plano_V3!H591,Auxiliar!$C$16:$C$24,0),1)</f>
        <v>1. Concluído</v>
      </c>
      <c r="H591" s="64">
        <f>VLOOKUP(A591,'Aux - pivots1'!$A:$B,2,0)</f>
        <v>1</v>
      </c>
      <c r="I591" s="178">
        <f>SUMIFS(Table1[Estimação (horas)],Table1[Tabela],Plano_V3!E591,Table1[Campo],Plano_V3!F591)</f>
        <v>1</v>
      </c>
      <c r="J591" s="178">
        <f t="shared" si="121"/>
        <v>0.125</v>
      </c>
      <c r="K591" s="178">
        <f>SUMIFS(Table1[Horas efetivas],Table1[Tabela],Plano_V3!E591,Table1[Campo],Plano_V3!F591)</f>
        <v>1</v>
      </c>
      <c r="L591" s="178">
        <f t="shared" si="122"/>
        <v>0.125</v>
      </c>
      <c r="M591" s="180"/>
      <c r="N591" s="180">
        <f t="shared" si="123"/>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20"/>
        <v>lt003_entitypure_trnvr_p</v>
      </c>
      <c r="B592" s="67" t="s">
        <v>26</v>
      </c>
      <c r="C592" s="68" t="s">
        <v>26</v>
      </c>
      <c r="D592" s="64" t="s">
        <v>40</v>
      </c>
      <c r="E592" s="70" t="s">
        <v>335</v>
      </c>
      <c r="F592" s="430" t="s">
        <v>2269</v>
      </c>
      <c r="G592" s="64" t="str">
        <f>INDEX(Auxiliar!$B$16:$B$24,MATCH(Plano_V3!H592,Auxiliar!$C$16:$C$24,0),1)</f>
        <v>1. Concluído</v>
      </c>
      <c r="H592" s="64">
        <f>VLOOKUP(A592,'Aux - pivots1'!$A:$B,2,0)</f>
        <v>1</v>
      </c>
      <c r="I592" s="178">
        <f>SUMIFS(Table1[Estimação (horas)],Table1[Tabela],Plano_V3!E592,Table1[Campo],Plano_V3!F592)</f>
        <v>1</v>
      </c>
      <c r="J592" s="178">
        <f t="shared" si="121"/>
        <v>0.125</v>
      </c>
      <c r="K592" s="178">
        <f>SUMIFS(Table1[Horas efetivas],Table1[Tabela],Plano_V3!E592,Table1[Campo],Plano_V3!F592)</f>
        <v>1</v>
      </c>
      <c r="L592" s="178">
        <f t="shared" si="122"/>
        <v>0.125</v>
      </c>
      <c r="M592" s="180"/>
      <c r="N592" s="180">
        <f t="shared" si="123"/>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20"/>
        <v>lt003_entitypure_capex_b</v>
      </c>
      <c r="B593" s="67" t="s">
        <v>26</v>
      </c>
      <c r="C593" s="68" t="s">
        <v>26</v>
      </c>
      <c r="D593" s="64" t="s">
        <v>40</v>
      </c>
      <c r="E593" s="70" t="s">
        <v>335</v>
      </c>
      <c r="F593" s="430" t="s">
        <v>2270</v>
      </c>
      <c r="G593" s="64" t="str">
        <f>INDEX(Auxiliar!$B$16:$B$24,MATCH(Plano_V3!H593,Auxiliar!$C$16:$C$24,0),1)</f>
        <v>1. Concluído</v>
      </c>
      <c r="H593" s="64">
        <f>VLOOKUP(A593,'Aux - pivots1'!$A:$B,2,0)</f>
        <v>1</v>
      </c>
      <c r="I593" s="178">
        <f>SUMIFS(Table1[Estimação (horas)],Table1[Tabela],Plano_V3!E593,Table1[Campo],Plano_V3!F593)</f>
        <v>1</v>
      </c>
      <c r="J593" s="178">
        <f t="shared" si="121"/>
        <v>0.125</v>
      </c>
      <c r="K593" s="178">
        <f>SUMIFS(Table1[Horas efetivas],Table1[Tabela],Plano_V3!E593,Table1[Campo],Plano_V3!F593)</f>
        <v>1</v>
      </c>
      <c r="L593" s="178">
        <f t="shared" si="122"/>
        <v>0.125</v>
      </c>
      <c r="M593" s="180"/>
      <c r="N593" s="180">
        <f t="shared" si="123"/>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20"/>
        <v>lt003_entitypure_trnvr_b</v>
      </c>
      <c r="B594" s="67" t="s">
        <v>26</v>
      </c>
      <c r="C594" s="68" t="s">
        <v>26</v>
      </c>
      <c r="D594" s="64" t="s">
        <v>40</v>
      </c>
      <c r="E594" s="70" t="s">
        <v>335</v>
      </c>
      <c r="F594" s="430" t="s">
        <v>2271</v>
      </c>
      <c r="G594" s="64" t="str">
        <f>INDEX(Auxiliar!$B$16:$B$24,MATCH(Plano_V3!H594,Auxiliar!$C$16:$C$24,0),1)</f>
        <v>1. Concluído</v>
      </c>
      <c r="H594" s="64">
        <f>VLOOKUP(A594,'Aux - pivots1'!$A:$B,2,0)</f>
        <v>1</v>
      </c>
      <c r="I594" s="178">
        <f>SUMIFS(Table1[Estimação (horas)],Table1[Tabela],Plano_V3!E594,Table1[Campo],Plano_V3!F594)</f>
        <v>1</v>
      </c>
      <c r="J594" s="178">
        <f t="shared" si="121"/>
        <v>0.125</v>
      </c>
      <c r="K594" s="178">
        <f>SUMIFS(Table1[Horas efetivas],Table1[Tabela],Plano_V3!E594,Table1[Campo],Plano_V3!F594)</f>
        <v>1</v>
      </c>
      <c r="L594" s="178">
        <f t="shared" si="122"/>
        <v>0.125</v>
      </c>
      <c r="M594" s="180"/>
      <c r="N594" s="180">
        <f t="shared" si="123"/>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20"/>
        <v>lt003_entitypure_capex_w</v>
      </c>
      <c r="B595" s="67" t="s">
        <v>26</v>
      </c>
      <c r="C595" s="68" t="s">
        <v>26</v>
      </c>
      <c r="D595" s="64" t="s">
        <v>40</v>
      </c>
      <c r="E595" s="70" t="s">
        <v>335</v>
      </c>
      <c r="F595" s="430" t="s">
        <v>2272</v>
      </c>
      <c r="G595" s="64" t="str">
        <f>INDEX(Auxiliar!$B$16:$B$24,MATCH(Plano_V3!H595,Auxiliar!$C$16:$C$24,0),1)</f>
        <v>1. Concluído</v>
      </c>
      <c r="H595" s="64">
        <f>VLOOKUP(A595,'Aux - pivots1'!$A:$B,2,0)</f>
        <v>1</v>
      </c>
      <c r="I595" s="178">
        <f>SUMIFS(Table1[Estimação (horas)],Table1[Tabela],Plano_V3!E595,Table1[Campo],Plano_V3!F595)</f>
        <v>1</v>
      </c>
      <c r="J595" s="178">
        <f t="shared" si="121"/>
        <v>0.125</v>
      </c>
      <c r="K595" s="178">
        <f>SUMIFS(Table1[Horas efetivas],Table1[Tabela],Plano_V3!E595,Table1[Campo],Plano_V3!F595)</f>
        <v>1</v>
      </c>
      <c r="L595" s="178">
        <f t="shared" si="122"/>
        <v>0.125</v>
      </c>
      <c r="M595" s="180"/>
      <c r="N595" s="180">
        <f t="shared" si="123"/>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20"/>
        <v>lt003_entitypure_trnvr_w</v>
      </c>
      <c r="B596" s="67" t="s">
        <v>26</v>
      </c>
      <c r="C596" s="68" t="s">
        <v>26</v>
      </c>
      <c r="D596" s="64" t="s">
        <v>40</v>
      </c>
      <c r="E596" s="70" t="s">
        <v>335</v>
      </c>
      <c r="F596" s="430" t="s">
        <v>2273</v>
      </c>
      <c r="G596" s="64" t="str">
        <f>INDEX(Auxiliar!$B$16:$B$24,MATCH(Plano_V3!H596,Auxiliar!$C$16:$C$24,0),1)</f>
        <v>1. Concluído</v>
      </c>
      <c r="H596" s="64">
        <f>VLOOKUP(A596,'Aux - pivots1'!$A:$B,2,0)</f>
        <v>1</v>
      </c>
      <c r="I596" s="178">
        <f>SUMIFS(Table1[Estimação (horas)],Table1[Tabela],Plano_V3!E596,Table1[Campo],Plano_V3!F596)</f>
        <v>1</v>
      </c>
      <c r="J596" s="178">
        <f t="shared" si="121"/>
        <v>0.125</v>
      </c>
      <c r="K596" s="178">
        <f>SUMIFS(Table1[Horas efetivas],Table1[Tabela],Plano_V3!E596,Table1[Campo],Plano_V3!F596)</f>
        <v>1</v>
      </c>
      <c r="L596" s="178">
        <f t="shared" si="122"/>
        <v>0.125</v>
      </c>
      <c r="M596" s="180"/>
      <c r="N596" s="180">
        <f t="shared" si="123"/>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20"/>
        <v>lt003_entitypure_capex_ce</v>
      </c>
      <c r="B597" s="67" t="s">
        <v>26</v>
      </c>
      <c r="C597" s="68" t="s">
        <v>26</v>
      </c>
      <c r="D597" s="64" t="s">
        <v>40</v>
      </c>
      <c r="E597" s="70" t="s">
        <v>335</v>
      </c>
      <c r="F597" s="430" t="s">
        <v>2274</v>
      </c>
      <c r="G597" s="64" t="str">
        <f>INDEX(Auxiliar!$B$16:$B$24,MATCH(Plano_V3!H597,Auxiliar!$C$16:$C$24,0),1)</f>
        <v>1. Concluído</v>
      </c>
      <c r="H597" s="64">
        <f>VLOOKUP(A597,'Aux - pivots1'!$A:$B,2,0)</f>
        <v>1</v>
      </c>
      <c r="I597" s="178">
        <f>SUMIFS(Table1[Estimação (horas)],Table1[Tabela],Plano_V3!E597,Table1[Campo],Plano_V3!F597)</f>
        <v>1</v>
      </c>
      <c r="J597" s="178">
        <f t="shared" si="121"/>
        <v>0.125</v>
      </c>
      <c r="K597" s="178">
        <f>SUMIFS(Table1[Horas efetivas],Table1[Tabela],Plano_V3!E597,Table1[Campo],Plano_V3!F597)</f>
        <v>1</v>
      </c>
      <c r="L597" s="178">
        <f t="shared" si="122"/>
        <v>0.125</v>
      </c>
      <c r="M597" s="180"/>
      <c r="N597" s="180">
        <f t="shared" si="123"/>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20"/>
        <v>lt003_entitypure_trnvr_ce</v>
      </c>
      <c r="B598" s="67" t="s">
        <v>26</v>
      </c>
      <c r="C598" s="68" t="s">
        <v>26</v>
      </c>
      <c r="D598" s="64" t="s">
        <v>40</v>
      </c>
      <c r="E598" s="70" t="s">
        <v>335</v>
      </c>
      <c r="F598" s="430" t="s">
        <v>2275</v>
      </c>
      <c r="G598" s="64" t="str">
        <f>INDEX(Auxiliar!$B$16:$B$24,MATCH(Plano_V3!H598,Auxiliar!$C$16:$C$24,0),1)</f>
        <v>1. Concluído</v>
      </c>
      <c r="H598" s="64">
        <f>VLOOKUP(A598,'Aux - pivots1'!$A:$B,2,0)</f>
        <v>1</v>
      </c>
      <c r="I598" s="178">
        <f>SUMIFS(Table1[Estimação (horas)],Table1[Tabela],Plano_V3!E598,Table1[Campo],Plano_V3!F598)</f>
        <v>1</v>
      </c>
      <c r="J598" s="178">
        <f t="shared" si="121"/>
        <v>0.125</v>
      </c>
      <c r="K598" s="178">
        <f>SUMIFS(Table1[Horas efetivas],Table1[Tabela],Plano_V3!E598,Table1[Campo],Plano_V3!F598)</f>
        <v>1</v>
      </c>
      <c r="L598" s="178">
        <f t="shared" si="122"/>
        <v>0.125</v>
      </c>
      <c r="M598" s="180"/>
      <c r="N598" s="180">
        <f t="shared" si="123"/>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20"/>
        <v>lt003_entityenblng_capex_w</v>
      </c>
      <c r="B599" s="67" t="s">
        <v>26</v>
      </c>
      <c r="C599" s="68" t="s">
        <v>26</v>
      </c>
      <c r="D599" s="64" t="s">
        <v>40</v>
      </c>
      <c r="E599" s="70" t="s">
        <v>335</v>
      </c>
      <c r="F599" s="430" t="s">
        <v>2276</v>
      </c>
      <c r="G599" s="64" t="str">
        <f>INDEX(Auxiliar!$B$16:$B$24,MATCH(Plano_V3!H599,Auxiliar!$C$16:$C$24,0),1)</f>
        <v>1. Concluído</v>
      </c>
      <c r="H599" s="64">
        <f>VLOOKUP(A599,'Aux - pivots1'!$A:$B,2,0)</f>
        <v>1</v>
      </c>
      <c r="I599" s="178">
        <f>SUMIFS(Table1[Estimação (horas)],Table1[Tabela],Plano_V3!E599,Table1[Campo],Plano_V3!F599)</f>
        <v>1</v>
      </c>
      <c r="J599" s="178">
        <f t="shared" si="121"/>
        <v>0.125</v>
      </c>
      <c r="K599" s="178">
        <f>SUMIFS(Table1[Horas efetivas],Table1[Tabela],Plano_V3!E599,Table1[Campo],Plano_V3!F599)</f>
        <v>1</v>
      </c>
      <c r="L599" s="178">
        <f t="shared" si="122"/>
        <v>0.125</v>
      </c>
      <c r="M599" s="180"/>
      <c r="N599" s="180">
        <f t="shared" si="123"/>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20"/>
        <v>lt003_entityenblng_trnvr_w</v>
      </c>
      <c r="B600" s="67" t="s">
        <v>26</v>
      </c>
      <c r="C600" s="68" t="s">
        <v>26</v>
      </c>
      <c r="D600" s="64" t="s">
        <v>40</v>
      </c>
      <c r="E600" s="70" t="s">
        <v>335</v>
      </c>
      <c r="F600" s="430" t="s">
        <v>2277</v>
      </c>
      <c r="G600" s="64" t="str">
        <f>INDEX(Auxiliar!$B$16:$B$24,MATCH(Plano_V3!H600,Auxiliar!$C$16:$C$24,0),1)</f>
        <v>1. Concluído</v>
      </c>
      <c r="H600" s="64">
        <f>VLOOKUP(A600,'Aux - pivots1'!$A:$B,2,0)</f>
        <v>1</v>
      </c>
      <c r="I600" s="178">
        <f>SUMIFS(Table1[Estimação (horas)],Table1[Tabela],Plano_V3!E600,Table1[Campo],Plano_V3!F600)</f>
        <v>1</v>
      </c>
      <c r="J600" s="178">
        <f t="shared" si="121"/>
        <v>0.125</v>
      </c>
      <c r="K600" s="178">
        <f>SUMIFS(Table1[Horas efetivas],Table1[Tabela],Plano_V3!E600,Table1[Campo],Plano_V3!F600)</f>
        <v>1</v>
      </c>
      <c r="L600" s="178">
        <f t="shared" si="122"/>
        <v>0.125</v>
      </c>
      <c r="M600" s="180"/>
      <c r="N600" s="180">
        <f t="shared" si="123"/>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20"/>
        <v>lt003_entityenblng_capex_ce</v>
      </c>
      <c r="B601" s="67" t="s">
        <v>26</v>
      </c>
      <c r="C601" s="68" t="s">
        <v>26</v>
      </c>
      <c r="D601" s="64" t="s">
        <v>40</v>
      </c>
      <c r="E601" s="70" t="s">
        <v>335</v>
      </c>
      <c r="F601" s="430" t="s">
        <v>2278</v>
      </c>
      <c r="G601" s="64" t="str">
        <f>INDEX(Auxiliar!$B$16:$B$24,MATCH(Plano_V3!H601,Auxiliar!$C$16:$C$24,0),1)</f>
        <v>1. Concluído</v>
      </c>
      <c r="H601" s="64">
        <f>VLOOKUP(A601,'Aux - pivots1'!$A:$B,2,0)</f>
        <v>1</v>
      </c>
      <c r="I601" s="178">
        <f>SUMIFS(Table1[Estimação (horas)],Table1[Tabela],Plano_V3!E601,Table1[Campo],Plano_V3!F601)</f>
        <v>1</v>
      </c>
      <c r="J601" s="178">
        <f t="shared" si="121"/>
        <v>0.125</v>
      </c>
      <c r="K601" s="178">
        <f>SUMIFS(Table1[Horas efetivas],Table1[Tabela],Plano_V3!E601,Table1[Campo],Plano_V3!F601)</f>
        <v>1</v>
      </c>
      <c r="L601" s="178">
        <f t="shared" si="122"/>
        <v>0.125</v>
      </c>
      <c r="M601" s="180"/>
      <c r="N601" s="180">
        <f t="shared" si="123"/>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20"/>
        <v>lt003_entityenblng_trnvr_ce</v>
      </c>
      <c r="B602" s="67" t="s">
        <v>26</v>
      </c>
      <c r="C602" s="68" t="s">
        <v>26</v>
      </c>
      <c r="D602" s="64" t="s">
        <v>40</v>
      </c>
      <c r="E602" s="70" t="s">
        <v>335</v>
      </c>
      <c r="F602" s="430" t="s">
        <v>2279</v>
      </c>
      <c r="G602" s="64" t="str">
        <f>INDEX(Auxiliar!$B$16:$B$24,MATCH(Plano_V3!H602,Auxiliar!$C$16:$C$24,0),1)</f>
        <v>1. Concluído</v>
      </c>
      <c r="H602" s="64">
        <f>VLOOKUP(A602,'Aux - pivots1'!$A:$B,2,0)</f>
        <v>1</v>
      </c>
      <c r="I602" s="178">
        <f>SUMIFS(Table1[Estimação (horas)],Table1[Tabela],Plano_V3!E602,Table1[Campo],Plano_V3!F602)</f>
        <v>1</v>
      </c>
      <c r="J602" s="178">
        <f t="shared" si="121"/>
        <v>0.125</v>
      </c>
      <c r="K602" s="178">
        <f>SUMIFS(Table1[Horas efetivas],Table1[Tabela],Plano_V3!E602,Table1[Campo],Plano_V3!F602)</f>
        <v>1</v>
      </c>
      <c r="L602" s="178">
        <f t="shared" si="122"/>
        <v>0.125</v>
      </c>
      <c r="M602" s="180"/>
      <c r="N602" s="180">
        <f t="shared" si="123"/>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20"/>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si="117"/>
        <v>0.51249999999999996</v>
      </c>
      <c r="K603" s="178">
        <f>SUMIFS(Table1[Horas efetivas],Table1[Tabela],Plano_V3!E603,Table1[Campo],Plano_V3!F603)</f>
        <v>4.0999999999999996</v>
      </c>
      <c r="L603" s="178">
        <f t="shared" si="118"/>
        <v>0.51249999999999996</v>
      </c>
      <c r="M603" s="180"/>
      <c r="N603" s="180">
        <f t="shared" si="119"/>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20"/>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117"/>
        <v>0.51249999999999996</v>
      </c>
      <c r="K604" s="178">
        <f>SUMIFS(Table1[Horas efetivas],Table1[Tabela],Plano_V3!E604,Table1[Campo],Plano_V3!F604)</f>
        <v>4.0999999999999996</v>
      </c>
      <c r="L604" s="178">
        <f t="shared" si="118"/>
        <v>0.51249999999999996</v>
      </c>
      <c r="M604" s="180"/>
      <c r="N604" s="180">
        <f t="shared" si="119"/>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20"/>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117"/>
        <v>0.51249999999999996</v>
      </c>
      <c r="K605" s="178">
        <f>SUMIFS(Table1[Horas efetivas],Table1[Tabela],Plano_V3!E605,Table1[Campo],Plano_V3!F605)</f>
        <v>4.0999999999999996</v>
      </c>
      <c r="L605" s="178">
        <f t="shared" si="118"/>
        <v>0.51249999999999996</v>
      </c>
      <c r="M605" s="180"/>
      <c r="N605" s="180">
        <f t="shared" si="119"/>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20"/>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117"/>
        <v>0.51249999999999996</v>
      </c>
      <c r="K606" s="178">
        <f>SUMIFS(Table1[Horas efetivas],Table1[Tabela],Plano_V3!E606,Table1[Campo],Plano_V3!F606)</f>
        <v>4.0999999999999996</v>
      </c>
      <c r="L606" s="178">
        <f t="shared" si="118"/>
        <v>0.51249999999999996</v>
      </c>
      <c r="M606" s="180"/>
      <c r="N606" s="180">
        <f t="shared" si="119"/>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20"/>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117"/>
        <v>0.51249999999999996</v>
      </c>
      <c r="K607" s="178">
        <f>SUMIFS(Table1[Horas efetivas],Table1[Tabela],Plano_V3!E607,Table1[Campo],Plano_V3!F607)</f>
        <v>4.0999999999999996</v>
      </c>
      <c r="L607" s="178">
        <f t="shared" si="118"/>
        <v>0.51249999999999996</v>
      </c>
      <c r="M607" s="180"/>
      <c r="N607" s="180">
        <f t="shared" si="119"/>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20"/>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117"/>
        <v>0.51249999999999996</v>
      </c>
      <c r="K608" s="178">
        <f>SUMIFS(Table1[Horas efetivas],Table1[Tabela],Plano_V3!E608,Table1[Campo],Plano_V3!F608)</f>
        <v>4.0999999999999996</v>
      </c>
      <c r="L608" s="178">
        <f t="shared" si="118"/>
        <v>0.51249999999999996</v>
      </c>
      <c r="M608" s="180"/>
      <c r="N608" s="180">
        <f t="shared" si="119"/>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20"/>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117"/>
        <v>0.51249999999999996</v>
      </c>
      <c r="K609" s="178">
        <f>SUMIFS(Table1[Horas efetivas],Table1[Tabela],Plano_V3!E609,Table1[Campo],Plano_V3!F609)</f>
        <v>4.0999999999999996</v>
      </c>
      <c r="L609" s="178">
        <f t="shared" si="118"/>
        <v>0.51249999999999996</v>
      </c>
      <c r="M609" s="180"/>
      <c r="N609" s="180">
        <f t="shared" si="119"/>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20"/>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117"/>
        <v>0.51249999999999996</v>
      </c>
      <c r="K610" s="178">
        <f>SUMIFS(Table1[Horas efetivas],Table1[Tabela],Plano_V3!E610,Table1[Campo],Plano_V3!F610)</f>
        <v>4.0999999999999996</v>
      </c>
      <c r="L610" s="178">
        <f t="shared" si="118"/>
        <v>0.51249999999999996</v>
      </c>
      <c r="M610" s="180"/>
      <c r="N610" s="180">
        <f t="shared" si="11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20"/>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117"/>
        <v>0.51249999999999996</v>
      </c>
      <c r="K611" s="178">
        <f>SUMIFS(Table1[Horas efetivas],Table1[Tabela],Plano_V3!E611,Table1[Campo],Plano_V3!F611)</f>
        <v>4.0999999999999996</v>
      </c>
      <c r="L611" s="178">
        <f t="shared" si="118"/>
        <v>0.51249999999999996</v>
      </c>
      <c r="M611" s="180"/>
      <c r="N611" s="180">
        <f t="shared" si="11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20"/>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117"/>
        <v>0.51249999999999996</v>
      </c>
      <c r="K612" s="178">
        <f>SUMIFS(Table1[Horas efetivas],Table1[Tabela],Plano_V3!E612,Table1[Campo],Plano_V3!F612)</f>
        <v>4.0999999999999996</v>
      </c>
      <c r="L612" s="178">
        <f t="shared" si="118"/>
        <v>0.51249999999999996</v>
      </c>
      <c r="M612" s="180"/>
      <c r="N612" s="180">
        <f t="shared" si="11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20"/>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117"/>
        <v>0.51249999999999996</v>
      </c>
      <c r="K613" s="178">
        <f>SUMIFS(Table1[Horas efetivas],Table1[Tabela],Plano_V3!E613,Table1[Campo],Plano_V3!F613)</f>
        <v>1.0249999999999999</v>
      </c>
      <c r="L613" s="178">
        <f t="shared" si="118"/>
        <v>0.12812499999999999</v>
      </c>
      <c r="M613" s="180"/>
      <c r="N613" s="180">
        <f t="shared" si="119"/>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20"/>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117"/>
        <v>0.51249999999999996</v>
      </c>
      <c r="K614" s="178">
        <f>SUMIFS(Table1[Horas efetivas],Table1[Tabela],Plano_V3!E614,Table1[Campo],Plano_V3!F614)</f>
        <v>1.0249999999999999</v>
      </c>
      <c r="L614" s="178">
        <f t="shared" si="118"/>
        <v>0.12812499999999999</v>
      </c>
      <c r="M614" s="180"/>
      <c r="N614" s="180">
        <f t="shared" si="119"/>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124">E615&amp;F615</f>
        <v>lt004_protectionRL_ESTT_ADDRSS</v>
      </c>
      <c r="B615" s="67" t="s">
        <v>26</v>
      </c>
      <c r="C615" s="68" t="s">
        <v>26</v>
      </c>
      <c r="D615" s="64" t="s">
        <v>40</v>
      </c>
      <c r="E615" s="70" t="s">
        <v>368</v>
      </c>
      <c r="F615" s="430" t="s">
        <v>2308</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25">I615/8</f>
        <v>#N/A</v>
      </c>
      <c r="K615" s="178" t="e">
        <f>SUMIFS(Table1[Horas efetivas],Table1[Tabela],Plano_V3!E615,Table1[Campo],Plano_V3!F615)</f>
        <v>#N/A</v>
      </c>
      <c r="L615" s="178" t="e">
        <f t="shared" ref="L615:L637" si="126">K615/8</f>
        <v>#N/A</v>
      </c>
      <c r="M615" s="180"/>
      <c r="N615" s="180" t="e">
        <f t="shared" ref="N615:N637" si="127">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24"/>
        <v>lt004_protectionRL_ESTT_CLLTRL_LCTN_INT</v>
      </c>
      <c r="B616" s="67" t="s">
        <v>26</v>
      </c>
      <c r="C616" s="68" t="s">
        <v>26</v>
      </c>
      <c r="D616" s="64" t="s">
        <v>40</v>
      </c>
      <c r="E616" s="70" t="s">
        <v>368</v>
      </c>
      <c r="F616" s="430" t="s">
        <v>2309</v>
      </c>
      <c r="G616" s="64" t="str">
        <f>INDEX(Auxiliar!$B$16:$B$24,MATCH(Plano_V3!H616,Auxiliar!$C$16:$C$24,0),1)</f>
        <v>7. Por iniciar</v>
      </c>
      <c r="H616" s="64">
        <f>VLOOKUP(A616,'Aux - pivots1'!$A:$B,2,0)</f>
        <v>8</v>
      </c>
      <c r="I616" s="178" t="e">
        <f>SUMIFS(Table1[Estimação (horas)],Table1[Tabela],Plano_V3!E616,Table1[Campo],Plano_V3!F616)</f>
        <v>#N/A</v>
      </c>
      <c r="J616" s="178" t="e">
        <f t="shared" si="125"/>
        <v>#N/A</v>
      </c>
      <c r="K616" s="178" t="e">
        <f>SUMIFS(Table1[Horas efetivas],Table1[Tabela],Plano_V3!E616,Table1[Campo],Plano_V3!F616)</f>
        <v>#N/A</v>
      </c>
      <c r="L616" s="178" t="e">
        <f t="shared" si="126"/>
        <v>#N/A</v>
      </c>
      <c r="M616" s="180"/>
      <c r="N616" s="180" t="e">
        <f t="shared" si="127"/>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24"/>
        <v>lt004_protectionRL_ESTT_CTY</v>
      </c>
      <c r="B617" s="67" t="s">
        <v>26</v>
      </c>
      <c r="C617" s="68" t="s">
        <v>26</v>
      </c>
      <c r="D617" s="64" t="s">
        <v>40</v>
      </c>
      <c r="E617" s="70" t="s">
        <v>368</v>
      </c>
      <c r="F617" s="430" t="s">
        <v>2310</v>
      </c>
      <c r="G617" s="64" t="str">
        <f>INDEX(Auxiliar!$B$16:$B$24,MATCH(Plano_V3!H617,Auxiliar!$C$16:$C$24,0),1)</f>
        <v>7. Por iniciar</v>
      </c>
      <c r="H617" s="64">
        <f>VLOOKUP(A617,'Aux - pivots1'!$A:$B,2,0)</f>
        <v>8</v>
      </c>
      <c r="I617" s="178" t="e">
        <f>SUMIFS(Table1[Estimação (horas)],Table1[Tabela],Plano_V3!E617,Table1[Campo],Plano_V3!F617)</f>
        <v>#N/A</v>
      </c>
      <c r="J617" s="178" t="e">
        <f t="shared" si="125"/>
        <v>#N/A</v>
      </c>
      <c r="K617" s="178" t="e">
        <f>SUMIFS(Table1[Horas efetivas],Table1[Tabela],Plano_V3!E617,Table1[Campo],Plano_V3!F617)</f>
        <v>#N/A</v>
      </c>
      <c r="L617" s="178" t="e">
        <f t="shared" si="126"/>
        <v>#N/A</v>
      </c>
      <c r="M617" s="180"/>
      <c r="N617" s="180" t="e">
        <f t="shared" si="127"/>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24"/>
        <v>lt004_protectionTYP_EMSSNS_LBL</v>
      </c>
      <c r="B618" s="67" t="s">
        <v>26</v>
      </c>
      <c r="C618" s="68" t="s">
        <v>26</v>
      </c>
      <c r="D618" s="64" t="s">
        <v>40</v>
      </c>
      <c r="E618" s="70" t="s">
        <v>368</v>
      </c>
      <c r="F618" s="430" t="s">
        <v>2311</v>
      </c>
      <c r="G618" s="64" t="str">
        <f>INDEX(Auxiliar!$B$16:$B$24,MATCH(Plano_V3!H618,Auxiliar!$C$16:$C$24,0),1)</f>
        <v>7. Por iniciar</v>
      </c>
      <c r="H618" s="64">
        <f>VLOOKUP(A618,'Aux - pivots1'!$A:$B,2,0)</f>
        <v>8</v>
      </c>
      <c r="I618" s="178" t="e">
        <f>SUMIFS(Table1[Estimação (horas)],Table1[Tabela],Plano_V3!E618,Table1[Campo],Plano_V3!F618)</f>
        <v>#N/A</v>
      </c>
      <c r="J618" s="178" t="e">
        <f t="shared" si="125"/>
        <v>#N/A</v>
      </c>
      <c r="K618" s="178" t="e">
        <f>SUMIFS(Table1[Horas efetivas],Table1[Tabela],Plano_V3!E618,Table1[Campo],Plano_V3!F618)</f>
        <v>#N/A</v>
      </c>
      <c r="L618" s="178" t="e">
        <f t="shared" si="126"/>
        <v>#N/A</v>
      </c>
      <c r="M618" s="180"/>
      <c r="N618" s="180" t="e">
        <f t="shared" si="127"/>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24"/>
        <v>lt004_protectionEPC_EMSSNS_LBL</v>
      </c>
      <c r="B619" s="67" t="s">
        <v>26</v>
      </c>
      <c r="C619" s="68" t="s">
        <v>26</v>
      </c>
      <c r="D619" s="64" t="s">
        <v>40</v>
      </c>
      <c r="E619" s="70" t="s">
        <v>368</v>
      </c>
      <c r="F619" s="430" t="s">
        <v>2312</v>
      </c>
      <c r="G619" s="64" t="str">
        <f>INDEX(Auxiliar!$B$16:$B$24,MATCH(Plano_V3!H619,Auxiliar!$C$16:$C$24,0),1)</f>
        <v>7. Por iniciar</v>
      </c>
      <c r="H619" s="64">
        <f>VLOOKUP(A619,'Aux - pivots1'!$A:$B,2,0)</f>
        <v>8</v>
      </c>
      <c r="I619" s="178" t="e">
        <f>SUMIFS(Table1[Estimação (horas)],Table1[Tabela],Plano_V3!E619,Table1[Campo],Plano_V3!F619)</f>
        <v>#N/A</v>
      </c>
      <c r="J619" s="178" t="e">
        <f t="shared" si="125"/>
        <v>#N/A</v>
      </c>
      <c r="K619" s="178" t="e">
        <f>SUMIFS(Table1[Horas efetivas],Table1[Tabela],Plano_V3!E619,Table1[Campo],Plano_V3!F619)</f>
        <v>#N/A</v>
      </c>
      <c r="L619" s="178" t="e">
        <f t="shared" si="126"/>
        <v>#N/A</v>
      </c>
      <c r="M619" s="180"/>
      <c r="N619" s="180" t="e">
        <f t="shared" si="127"/>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24"/>
        <v>lt004_protectionVHCL_EMSSNS_LBL</v>
      </c>
      <c r="B620" s="67" t="s">
        <v>26</v>
      </c>
      <c r="C620" s="68" t="s">
        <v>26</v>
      </c>
      <c r="D620" s="64" t="s">
        <v>40</v>
      </c>
      <c r="E620" s="70" t="s">
        <v>368</v>
      </c>
      <c r="F620" s="430" t="s">
        <v>2313</v>
      </c>
      <c r="G620" s="64" t="str">
        <f>INDEX(Auxiliar!$B$16:$B$24,MATCH(Plano_V3!H620,Auxiliar!$C$16:$C$24,0),1)</f>
        <v>7. Por iniciar</v>
      </c>
      <c r="H620" s="64">
        <f>VLOOKUP(A620,'Aux - pivots1'!$A:$B,2,0)</f>
        <v>8</v>
      </c>
      <c r="I620" s="178" t="e">
        <f>SUMIFS(Table1[Estimação (horas)],Table1[Tabela],Plano_V3!E620,Table1[Campo],Plano_V3!F620)</f>
        <v>#N/A</v>
      </c>
      <c r="J620" s="178" t="e">
        <f t="shared" si="125"/>
        <v>#N/A</v>
      </c>
      <c r="K620" s="178" t="e">
        <f>SUMIFS(Table1[Horas efetivas],Table1[Tabela],Plano_V3!E620,Table1[Campo],Plano_V3!F620)</f>
        <v>#N/A</v>
      </c>
      <c r="L620" s="178" t="e">
        <f t="shared" si="126"/>
        <v>#N/A</v>
      </c>
      <c r="M620" s="180"/>
      <c r="N620" s="180" t="e">
        <f t="shared" si="127"/>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24"/>
        <v>lt004_protectionTYP_EMSSNS_SCR</v>
      </c>
      <c r="B621" s="67" t="s">
        <v>26</v>
      </c>
      <c r="C621" s="68" t="s">
        <v>26</v>
      </c>
      <c r="D621" s="64" t="s">
        <v>40</v>
      </c>
      <c r="E621" s="70" t="s">
        <v>368</v>
      </c>
      <c r="F621" s="430" t="s">
        <v>2314</v>
      </c>
      <c r="G621" s="64" t="str">
        <f>INDEX(Auxiliar!$B$16:$B$24,MATCH(Plano_V3!H621,Auxiliar!$C$16:$C$24,0),1)</f>
        <v>7. Por iniciar</v>
      </c>
      <c r="H621" s="64">
        <f>VLOOKUP(A621,'Aux - pivots1'!$A:$B,2,0)</f>
        <v>8</v>
      </c>
      <c r="I621" s="178" t="e">
        <f>SUMIFS(Table1[Estimação (horas)],Table1[Tabela],Plano_V3!E621,Table1[Campo],Plano_V3!F621)</f>
        <v>#N/A</v>
      </c>
      <c r="J621" s="178" t="e">
        <f t="shared" si="125"/>
        <v>#N/A</v>
      </c>
      <c r="K621" s="178" t="e">
        <f>SUMIFS(Table1[Horas efetivas],Table1[Tabela],Plano_V3!E621,Table1[Campo],Plano_V3!F621)</f>
        <v>#N/A</v>
      </c>
      <c r="L621" s="178" t="e">
        <f t="shared" si="126"/>
        <v>#N/A</v>
      </c>
      <c r="M621" s="180"/>
      <c r="N621" s="180" t="e">
        <f t="shared" si="127"/>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24"/>
        <v>lt004_protectionEPC_EMSSNS_SCR</v>
      </c>
      <c r="B622" s="67" t="s">
        <v>26</v>
      </c>
      <c r="C622" s="68" t="s">
        <v>26</v>
      </c>
      <c r="D622" s="64" t="s">
        <v>40</v>
      </c>
      <c r="E622" s="70" t="s">
        <v>368</v>
      </c>
      <c r="F622" s="430" t="s">
        <v>2315</v>
      </c>
      <c r="G622" s="64" t="str">
        <f>INDEX(Auxiliar!$B$16:$B$24,MATCH(Plano_V3!H622,Auxiliar!$C$16:$C$24,0),1)</f>
        <v>7. Por iniciar</v>
      </c>
      <c r="H622" s="64">
        <f>VLOOKUP(A622,'Aux - pivots1'!$A:$B,2,0)</f>
        <v>8</v>
      </c>
      <c r="I622" s="178" t="e">
        <f>SUMIFS(Table1[Estimação (horas)],Table1[Tabela],Plano_V3!E622,Table1[Campo],Plano_V3!F622)</f>
        <v>#N/A</v>
      </c>
      <c r="J622" s="178" t="e">
        <f t="shared" si="125"/>
        <v>#N/A</v>
      </c>
      <c r="K622" s="178" t="e">
        <f>SUMIFS(Table1[Horas efetivas],Table1[Tabela],Plano_V3!E622,Table1[Campo],Plano_V3!F622)</f>
        <v>#N/A</v>
      </c>
      <c r="L622" s="178" t="e">
        <f t="shared" si="126"/>
        <v>#N/A</v>
      </c>
      <c r="M622" s="180"/>
      <c r="N622" s="180" t="e">
        <f t="shared" si="127"/>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24"/>
        <v>lt004_protectionVHCL_EMSSNS_SCR</v>
      </c>
      <c r="B623" s="67" t="s">
        <v>26</v>
      </c>
      <c r="C623" s="68" t="s">
        <v>26</v>
      </c>
      <c r="D623" s="64" t="s">
        <v>40</v>
      </c>
      <c r="E623" s="70" t="s">
        <v>368</v>
      </c>
      <c r="F623" s="430" t="s">
        <v>2316</v>
      </c>
      <c r="G623" s="64" t="str">
        <f>INDEX(Auxiliar!$B$16:$B$24,MATCH(Plano_V3!H623,Auxiliar!$C$16:$C$24,0),1)</f>
        <v>7. Por iniciar</v>
      </c>
      <c r="H623" s="64">
        <f>VLOOKUP(A623,'Aux - pivots1'!$A:$B,2,0)</f>
        <v>8</v>
      </c>
      <c r="I623" s="178" t="e">
        <f>SUMIFS(Table1[Estimação (horas)],Table1[Tabela],Plano_V3!E623,Table1[Campo],Plano_V3!F623)</f>
        <v>#N/A</v>
      </c>
      <c r="J623" s="178" t="e">
        <f t="shared" si="125"/>
        <v>#N/A</v>
      </c>
      <c r="K623" s="178" t="e">
        <f>SUMIFS(Table1[Horas efetivas],Table1[Tabela],Plano_V3!E623,Table1[Campo],Plano_V3!F623)</f>
        <v>#N/A</v>
      </c>
      <c r="L623" s="178" t="e">
        <f t="shared" si="126"/>
        <v>#N/A</v>
      </c>
      <c r="M623" s="180"/>
      <c r="N623" s="180" t="e">
        <f t="shared" si="127"/>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24"/>
        <v>lt004_protectionINSRNC_ID</v>
      </c>
      <c r="B624" s="67" t="s">
        <v>26</v>
      </c>
      <c r="C624" s="68" t="s">
        <v>26</v>
      </c>
      <c r="D624" s="64" t="s">
        <v>40</v>
      </c>
      <c r="E624" s="70" t="s">
        <v>368</v>
      </c>
      <c r="F624" s="430" t="s">
        <v>2317</v>
      </c>
      <c r="G624" s="64" t="str">
        <f>INDEX(Auxiliar!$B$16:$B$24,MATCH(Plano_V3!H624,Auxiliar!$C$16:$C$24,0),1)</f>
        <v>7. Por iniciar</v>
      </c>
      <c r="H624" s="64">
        <f>VLOOKUP(A624,'Aux - pivots1'!$A:$B,2,0)</f>
        <v>8</v>
      </c>
      <c r="I624" s="178" t="e">
        <f>SUMIFS(Table1[Estimação (horas)],Table1[Tabela],Plano_V3!E624,Table1[Campo],Plano_V3!F624)</f>
        <v>#N/A</v>
      </c>
      <c r="J624" s="178" t="e">
        <f t="shared" si="125"/>
        <v>#N/A</v>
      </c>
      <c r="K624" s="178" t="e">
        <f>SUMIFS(Table1[Horas efetivas],Table1[Tabela],Plano_V3!E624,Table1[Campo],Plano_V3!F624)</f>
        <v>#N/A</v>
      </c>
      <c r="L624" s="178" t="e">
        <f t="shared" si="126"/>
        <v>#N/A</v>
      </c>
      <c r="M624" s="180"/>
      <c r="N624" s="180" t="e">
        <f t="shared" si="127"/>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24"/>
        <v>lt004_protectionTYP_HZRDS_INSRD</v>
      </c>
      <c r="B625" s="67" t="s">
        <v>26</v>
      </c>
      <c r="C625" s="68" t="s">
        <v>26</v>
      </c>
      <c r="D625" s="64" t="s">
        <v>40</v>
      </c>
      <c r="E625" s="70" t="s">
        <v>368</v>
      </c>
      <c r="F625" s="430" t="s">
        <v>2318</v>
      </c>
      <c r="G625" s="64" t="str">
        <f>INDEX(Auxiliar!$B$16:$B$24,MATCH(Plano_V3!H625,Auxiliar!$C$16:$C$24,0),1)</f>
        <v>7. Por iniciar</v>
      </c>
      <c r="H625" s="64">
        <f>VLOOKUP(A625,'Aux - pivots1'!$A:$B,2,0)</f>
        <v>8</v>
      </c>
      <c r="I625" s="178" t="e">
        <f>SUMIFS(Table1[Estimação (horas)],Table1[Tabela],Plano_V3!E625,Table1[Campo],Plano_V3!F625)</f>
        <v>#N/A</v>
      </c>
      <c r="J625" s="178" t="e">
        <f t="shared" si="125"/>
        <v>#N/A</v>
      </c>
      <c r="K625" s="178" t="e">
        <f>SUMIFS(Table1[Horas efetivas],Table1[Tabela],Plano_V3!E625,Table1[Campo],Plano_V3!F625)</f>
        <v>#N/A</v>
      </c>
      <c r="L625" s="178" t="e">
        <f t="shared" si="126"/>
        <v>#N/A</v>
      </c>
      <c r="M625" s="180"/>
      <c r="N625" s="180" t="e">
        <f t="shared" si="127"/>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24"/>
        <v>lt004_protectionAMNT_CVRD_INSRNC</v>
      </c>
      <c r="B626" s="67" t="s">
        <v>26</v>
      </c>
      <c r="C626" s="68" t="s">
        <v>26</v>
      </c>
      <c r="D626" s="64" t="s">
        <v>40</v>
      </c>
      <c r="E626" s="70" t="s">
        <v>368</v>
      </c>
      <c r="F626" s="430" t="s">
        <v>2319</v>
      </c>
      <c r="G626" s="64" t="str">
        <f>INDEX(Auxiliar!$B$16:$B$24,MATCH(Plano_V3!H626,Auxiliar!$C$16:$C$24,0),1)</f>
        <v>7. Por iniciar</v>
      </c>
      <c r="H626" s="64">
        <f>VLOOKUP(A626,'Aux - pivots1'!$A:$B,2,0)</f>
        <v>8</v>
      </c>
      <c r="I626" s="178" t="e">
        <f>SUMIFS(Table1[Estimação (horas)],Table1[Tabela],Plano_V3!E626,Table1[Campo],Plano_V3!F626)</f>
        <v>#N/A</v>
      </c>
      <c r="J626" s="178" t="e">
        <f t="shared" si="125"/>
        <v>#N/A</v>
      </c>
      <c r="K626" s="178" t="e">
        <f>SUMIFS(Table1[Horas efetivas],Table1[Tabela],Plano_V3!E626,Table1[Campo],Plano_V3!F626)</f>
        <v>#N/A</v>
      </c>
      <c r="L626" s="178" t="e">
        <f t="shared" si="126"/>
        <v>#N/A</v>
      </c>
      <c r="M626" s="180"/>
      <c r="N626" s="180" t="e">
        <f t="shared" si="127"/>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24"/>
        <v>lt004_protectionDT_MTRTY_INSRNC</v>
      </c>
      <c r="B627" s="67" t="s">
        <v>26</v>
      </c>
      <c r="C627" s="68" t="s">
        <v>26</v>
      </c>
      <c r="D627" s="64" t="s">
        <v>40</v>
      </c>
      <c r="E627" s="70" t="s">
        <v>368</v>
      </c>
      <c r="F627" s="430" t="s">
        <v>2320</v>
      </c>
      <c r="G627" s="64" t="str">
        <f>INDEX(Auxiliar!$B$16:$B$24,MATCH(Plano_V3!H627,Auxiliar!$C$16:$C$24,0),1)</f>
        <v>7. Por iniciar</v>
      </c>
      <c r="H627" s="64">
        <f>VLOOKUP(A627,'Aux - pivots1'!$A:$B,2,0)</f>
        <v>8</v>
      </c>
      <c r="I627" s="178" t="e">
        <f>SUMIFS(Table1[Estimação (horas)],Table1[Tabela],Plano_V3!E627,Table1[Campo],Plano_V3!F627)</f>
        <v>#N/A</v>
      </c>
      <c r="J627" s="178" t="e">
        <f t="shared" si="125"/>
        <v>#N/A</v>
      </c>
      <c r="K627" s="178" t="e">
        <f>SUMIFS(Table1[Horas efetivas],Table1[Tabela],Plano_V3!E627,Table1[Campo],Plano_V3!F627)</f>
        <v>#N/A</v>
      </c>
      <c r="L627" s="178" t="e">
        <f t="shared" si="126"/>
        <v>#N/A</v>
      </c>
      <c r="M627" s="180"/>
      <c r="N627" s="180" t="e">
        <f t="shared" si="127"/>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24"/>
        <v>lt004_protectionFLG_FRST_HM</v>
      </c>
      <c r="B628" s="67" t="s">
        <v>26</v>
      </c>
      <c r="C628" s="68" t="s">
        <v>26</v>
      </c>
      <c r="D628" s="64" t="s">
        <v>40</v>
      </c>
      <c r="E628" s="70" t="s">
        <v>368</v>
      </c>
      <c r="F628" s="430" t="s">
        <v>2321</v>
      </c>
      <c r="G628" s="64" t="str">
        <f>INDEX(Auxiliar!$B$16:$B$24,MATCH(Plano_V3!H628,Auxiliar!$C$16:$C$24,0),1)</f>
        <v>7. Por iniciar</v>
      </c>
      <c r="H628" s="64">
        <f>VLOOKUP(A628,'Aux - pivots1'!$A:$B,2,0)</f>
        <v>8</v>
      </c>
      <c r="I628" s="178" t="e">
        <f>SUMIFS(Table1[Estimação (horas)],Table1[Tabela],Plano_V3!E628,Table1[Campo],Plano_V3!F628)</f>
        <v>#N/A</v>
      </c>
      <c r="J628" s="178" t="e">
        <f t="shared" si="125"/>
        <v>#N/A</v>
      </c>
      <c r="K628" s="178" t="e">
        <f>SUMIFS(Table1[Horas efetivas],Table1[Tabela],Plano_V3!E628,Table1[Campo],Plano_V3!F628)</f>
        <v>#N/A</v>
      </c>
      <c r="L628" s="178" t="e">
        <f t="shared" si="126"/>
        <v>#N/A</v>
      </c>
      <c r="M628" s="180"/>
      <c r="N628" s="180" t="e">
        <f t="shared" si="127"/>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24"/>
        <v>lt004_protectionYR_CNSTRCTN</v>
      </c>
      <c r="B629" s="67" t="s">
        <v>26</v>
      </c>
      <c r="C629" s="68" t="s">
        <v>26</v>
      </c>
      <c r="D629" s="64" t="s">
        <v>40</v>
      </c>
      <c r="E629" s="70" t="s">
        <v>368</v>
      </c>
      <c r="F629" s="430" t="s">
        <v>2322</v>
      </c>
      <c r="G629" s="64" t="str">
        <f>INDEX(Auxiliar!$B$16:$B$24,MATCH(Plano_V3!H629,Auxiliar!$C$16:$C$24,0),1)</f>
        <v>7. Por iniciar</v>
      </c>
      <c r="H629" s="64">
        <f>VLOOKUP(A629,'Aux - pivots1'!$A:$B,2,0)</f>
        <v>8</v>
      </c>
      <c r="I629" s="178" t="e">
        <f>SUMIFS(Table1[Estimação (horas)],Table1[Tabela],Plano_V3!E629,Table1[Campo],Plano_V3!F629)</f>
        <v>#N/A</v>
      </c>
      <c r="J629" s="178" t="e">
        <f t="shared" si="125"/>
        <v>#N/A</v>
      </c>
      <c r="K629" s="178" t="e">
        <f>SUMIFS(Table1[Horas efetivas],Table1[Tabela],Plano_V3!E629,Table1[Campo],Plano_V3!F629)</f>
        <v>#N/A</v>
      </c>
      <c r="L629" s="178" t="e">
        <f t="shared" si="126"/>
        <v>#N/A</v>
      </c>
      <c r="M629" s="180"/>
      <c r="N629" s="180" t="e">
        <f t="shared" si="127"/>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24"/>
        <v>lt004_protectionBLDNG_AR</v>
      </c>
      <c r="B630" s="67" t="s">
        <v>26</v>
      </c>
      <c r="C630" s="68" t="s">
        <v>26</v>
      </c>
      <c r="D630" s="64" t="s">
        <v>40</v>
      </c>
      <c r="E630" s="70" t="s">
        <v>368</v>
      </c>
      <c r="F630" s="430" t="s">
        <v>2323</v>
      </c>
      <c r="G630" s="64" t="str">
        <f>INDEX(Auxiliar!$B$16:$B$24,MATCH(Plano_V3!H630,Auxiliar!$C$16:$C$24,0),1)</f>
        <v>7. Por iniciar</v>
      </c>
      <c r="H630" s="64">
        <f>VLOOKUP(A630,'Aux - pivots1'!$A:$B,2,0)</f>
        <v>8</v>
      </c>
      <c r="I630" s="178" t="e">
        <f>SUMIFS(Table1[Estimação (horas)],Table1[Tabela],Plano_V3!E630,Table1[Campo],Plano_V3!F630)</f>
        <v>#N/A</v>
      </c>
      <c r="J630" s="178" t="e">
        <f t="shared" si="125"/>
        <v>#N/A</v>
      </c>
      <c r="K630" s="178" t="e">
        <f>SUMIFS(Table1[Horas efetivas],Table1[Tabela],Plano_V3!E630,Table1[Campo],Plano_V3!F630)</f>
        <v>#N/A</v>
      </c>
      <c r="L630" s="178" t="e">
        <f t="shared" si="126"/>
        <v>#N/A</v>
      </c>
      <c r="M630" s="180"/>
      <c r="N630" s="180" t="e">
        <f t="shared" si="127"/>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24"/>
        <v>lt004_protectionRL_ESTT_CRTFCTN</v>
      </c>
      <c r="B631" s="67" t="s">
        <v>26</v>
      </c>
      <c r="C631" s="68" t="s">
        <v>26</v>
      </c>
      <c r="D631" s="64" t="s">
        <v>40</v>
      </c>
      <c r="E631" s="70" t="s">
        <v>368</v>
      </c>
      <c r="F631" s="430" t="s">
        <v>2324</v>
      </c>
      <c r="G631" s="64" t="str">
        <f>INDEX(Auxiliar!$B$16:$B$24,MATCH(Plano_V3!H631,Auxiliar!$C$16:$C$24,0),1)</f>
        <v>7. Por iniciar</v>
      </c>
      <c r="H631" s="64">
        <f>VLOOKUP(A631,'Aux - pivots1'!$A:$B,2,0)</f>
        <v>8</v>
      </c>
      <c r="I631" s="178" t="e">
        <f>SUMIFS(Table1[Estimação (horas)],Table1[Tabela],Plano_V3!E631,Table1[Campo],Plano_V3!F631)</f>
        <v>#N/A</v>
      </c>
      <c r="J631" s="178" t="e">
        <f t="shared" si="125"/>
        <v>#N/A</v>
      </c>
      <c r="K631" s="178" t="e">
        <f>SUMIFS(Table1[Horas efetivas],Table1[Tabela],Plano_V3!E631,Table1[Campo],Plano_V3!F631)</f>
        <v>#N/A</v>
      </c>
      <c r="L631" s="178" t="e">
        <f t="shared" si="126"/>
        <v>#N/A</v>
      </c>
      <c r="M631" s="180"/>
      <c r="N631" s="180" t="e">
        <f t="shared" si="127"/>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24"/>
        <v>lt004_protectionTYP_VHCL</v>
      </c>
      <c r="B632" s="67" t="s">
        <v>26</v>
      </c>
      <c r="C632" s="68" t="s">
        <v>26</v>
      </c>
      <c r="D632" s="64" t="s">
        <v>40</v>
      </c>
      <c r="E632" s="70" t="s">
        <v>368</v>
      </c>
      <c r="F632" s="430" t="s">
        <v>2325</v>
      </c>
      <c r="G632" s="64" t="str">
        <f>INDEX(Auxiliar!$B$16:$B$24,MATCH(Plano_V3!H632,Auxiliar!$C$16:$C$24,0),1)</f>
        <v>7. Por iniciar</v>
      </c>
      <c r="H632" s="64">
        <f>VLOOKUP(A632,'Aux - pivots1'!$A:$B,2,0)</f>
        <v>8</v>
      </c>
      <c r="I632" s="178" t="e">
        <f>SUMIFS(Table1[Estimação (horas)],Table1[Tabela],Plano_V3!E632,Table1[Campo],Plano_V3!F632)</f>
        <v>#N/A</v>
      </c>
      <c r="J632" s="178" t="e">
        <f t="shared" si="125"/>
        <v>#N/A</v>
      </c>
      <c r="K632" s="178" t="e">
        <f>SUMIFS(Table1[Horas efetivas],Table1[Tabela],Plano_V3!E632,Table1[Campo],Plano_V3!F632)</f>
        <v>#N/A</v>
      </c>
      <c r="L632" s="178" t="e">
        <f t="shared" si="126"/>
        <v>#N/A</v>
      </c>
      <c r="M632" s="180"/>
      <c r="N632" s="180" t="e">
        <f t="shared" si="127"/>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24"/>
        <v>lt004_protectionDT_RGSTRTN</v>
      </c>
      <c r="B633" s="67" t="s">
        <v>26</v>
      </c>
      <c r="C633" s="68" t="s">
        <v>26</v>
      </c>
      <c r="D633" s="64" t="s">
        <v>40</v>
      </c>
      <c r="E633" s="70" t="s">
        <v>368</v>
      </c>
      <c r="F633" s="430" t="s">
        <v>2326</v>
      </c>
      <c r="G633" s="64" t="str">
        <f>INDEX(Auxiliar!$B$16:$B$24,MATCH(Plano_V3!H633,Auxiliar!$C$16:$C$24,0),1)</f>
        <v>7. Por iniciar</v>
      </c>
      <c r="H633" s="64">
        <f>VLOOKUP(A633,'Aux - pivots1'!$A:$B,2,0)</f>
        <v>8</v>
      </c>
      <c r="I633" s="178" t="e">
        <f>SUMIFS(Table1[Estimação (horas)],Table1[Tabela],Plano_V3!E633,Table1[Campo],Plano_V3!F633)</f>
        <v>#N/A</v>
      </c>
      <c r="J633" s="178" t="e">
        <f t="shared" si="125"/>
        <v>#N/A</v>
      </c>
      <c r="K633" s="178" t="e">
        <f>SUMIFS(Table1[Horas efetivas],Table1[Tabela],Plano_V3!E633,Table1[Campo],Plano_V3!F633)</f>
        <v>#N/A</v>
      </c>
      <c r="L633" s="178" t="e">
        <f t="shared" si="126"/>
        <v>#N/A</v>
      </c>
      <c r="M633" s="180"/>
      <c r="N633" s="180" t="e">
        <f t="shared" si="127"/>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24"/>
        <v>lt004_protectionPRMRY_ENRGY_DMND_NN_RNWBL</v>
      </c>
      <c r="B634" s="67" t="s">
        <v>26</v>
      </c>
      <c r="C634" s="68" t="s">
        <v>26</v>
      </c>
      <c r="D634" s="64" t="s">
        <v>40</v>
      </c>
      <c r="E634" s="70" t="s">
        <v>368</v>
      </c>
      <c r="F634" s="430" t="s">
        <v>2327</v>
      </c>
      <c r="G634" s="64" t="str">
        <f>INDEX(Auxiliar!$B$16:$B$24,MATCH(Plano_V3!H634,Auxiliar!$C$16:$C$24,0),1)</f>
        <v>7. Por iniciar</v>
      </c>
      <c r="H634" s="64">
        <f>VLOOKUP(A634,'Aux - pivots1'!$A:$B,2,0)</f>
        <v>8</v>
      </c>
      <c r="I634" s="178" t="e">
        <f>SUMIFS(Table1[Estimação (horas)],Table1[Tabela],Plano_V3!E634,Table1[Campo],Plano_V3!F634)</f>
        <v>#N/A</v>
      </c>
      <c r="J634" s="178" t="e">
        <f t="shared" si="125"/>
        <v>#N/A</v>
      </c>
      <c r="K634" s="178" t="e">
        <f>SUMIFS(Table1[Horas efetivas],Table1[Tabela],Plano_V3!E634,Table1[Campo],Plano_V3!F634)</f>
        <v>#N/A</v>
      </c>
      <c r="L634" s="178" t="e">
        <f t="shared" si="126"/>
        <v>#N/A</v>
      </c>
      <c r="M634" s="180"/>
      <c r="N634" s="180" t="e">
        <f t="shared" si="127"/>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24"/>
        <v>lt004_protectionPRMRY_ENRGY_DMND_TTL</v>
      </c>
      <c r="B635" s="67" t="s">
        <v>26</v>
      </c>
      <c r="C635" s="68" t="s">
        <v>26</v>
      </c>
      <c r="D635" s="64" t="s">
        <v>40</v>
      </c>
      <c r="E635" s="70" t="s">
        <v>368</v>
      </c>
      <c r="F635" s="430" t="s">
        <v>2328</v>
      </c>
      <c r="G635" s="64" t="str">
        <f>INDEX(Auxiliar!$B$16:$B$24,MATCH(Plano_V3!H635,Auxiliar!$C$16:$C$24,0),1)</f>
        <v>7. Por iniciar</v>
      </c>
      <c r="H635" s="64">
        <f>VLOOKUP(A635,'Aux - pivots1'!$A:$B,2,0)</f>
        <v>8</v>
      </c>
      <c r="I635" s="178" t="e">
        <f>SUMIFS(Table1[Estimação (horas)],Table1[Tabela],Plano_V3!E635,Table1[Campo],Plano_V3!F635)</f>
        <v>#N/A</v>
      </c>
      <c r="J635" s="178" t="e">
        <f t="shared" si="125"/>
        <v>#N/A</v>
      </c>
      <c r="K635" s="178" t="e">
        <f>SUMIFS(Table1[Horas efetivas],Table1[Tabela],Plano_V3!E635,Table1[Campo],Plano_V3!F635)</f>
        <v>#N/A</v>
      </c>
      <c r="L635" s="178" t="e">
        <f t="shared" si="126"/>
        <v>#N/A</v>
      </c>
      <c r="M635" s="180"/>
      <c r="N635" s="180" t="e">
        <f t="shared" si="127"/>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24"/>
        <v>lt004_protectionPRMRY_ENRGY_DMND_RFRNC_VL</v>
      </c>
      <c r="B636" s="67" t="s">
        <v>26</v>
      </c>
      <c r="C636" s="68" t="s">
        <v>26</v>
      </c>
      <c r="D636" s="64" t="s">
        <v>40</v>
      </c>
      <c r="E636" s="70" t="s">
        <v>368</v>
      </c>
      <c r="F636" s="430" t="s">
        <v>2329</v>
      </c>
      <c r="G636" s="64" t="str">
        <f>INDEX(Auxiliar!$B$16:$B$24,MATCH(Plano_V3!H636,Auxiliar!$C$16:$C$24,0),1)</f>
        <v>7. Por iniciar</v>
      </c>
      <c r="H636" s="64">
        <f>VLOOKUP(A636,'Aux - pivots1'!$A:$B,2,0)</f>
        <v>8</v>
      </c>
      <c r="I636" s="178" t="e">
        <f>SUMIFS(Table1[Estimação (horas)],Table1[Tabela],Plano_V3!E636,Table1[Campo],Plano_V3!F636)</f>
        <v>#N/A</v>
      </c>
      <c r="J636" s="178" t="e">
        <f t="shared" si="125"/>
        <v>#N/A</v>
      </c>
      <c r="K636" s="178" t="e">
        <f>SUMIFS(Table1[Horas efetivas],Table1[Tabela],Plano_V3!E636,Table1[Campo],Plano_V3!F636)</f>
        <v>#N/A</v>
      </c>
      <c r="L636" s="178" t="e">
        <f t="shared" si="126"/>
        <v>#N/A</v>
      </c>
      <c r="M636" s="180"/>
      <c r="N636" s="180" t="e">
        <f t="shared" si="127"/>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24"/>
        <v>lt004_protectionRL_ESTT_CLMT_ZN</v>
      </c>
      <c r="B637" s="67" t="s">
        <v>26</v>
      </c>
      <c r="C637" s="68" t="s">
        <v>26</v>
      </c>
      <c r="D637" s="64" t="s">
        <v>40</v>
      </c>
      <c r="E637" s="70" t="s">
        <v>368</v>
      </c>
      <c r="F637" s="430" t="s">
        <v>2330</v>
      </c>
      <c r="G637" s="64" t="str">
        <f>INDEX(Auxiliar!$B$16:$B$24,MATCH(Plano_V3!H637,Auxiliar!$C$16:$C$24,0),1)</f>
        <v>7. Por iniciar</v>
      </c>
      <c r="H637" s="64">
        <f>VLOOKUP(A637,'Aux - pivots1'!$A:$B,2,0)</f>
        <v>8</v>
      </c>
      <c r="I637" s="178" t="e">
        <f>SUMIFS(Table1[Estimação (horas)],Table1[Tabela],Plano_V3!E637,Table1[Campo],Plano_V3!F637)</f>
        <v>#N/A</v>
      </c>
      <c r="J637" s="178" t="e">
        <f t="shared" si="125"/>
        <v>#N/A</v>
      </c>
      <c r="K637" s="178" t="e">
        <f>SUMIFS(Table1[Horas efetivas],Table1[Tabela],Plano_V3!E637,Table1[Campo],Plano_V3!F637)</f>
        <v>#N/A</v>
      </c>
      <c r="L637" s="178" t="e">
        <f t="shared" si="126"/>
        <v>#N/A</v>
      </c>
      <c r="M637" s="180"/>
      <c r="N637" s="180" t="e">
        <f t="shared" si="127"/>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20"/>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si="117"/>
        <v>0.51249999999999996</v>
      </c>
      <c r="K638" s="178">
        <f>SUMIFS(Table1[Horas efetivas],Table1[Tabela],Plano_V3!E638,Table1[Campo],Plano_V3!F638)</f>
        <v>4.0999999999999996</v>
      </c>
      <c r="L638" s="178">
        <f t="shared" si="118"/>
        <v>0.51249999999999996</v>
      </c>
      <c r="M638" s="180"/>
      <c r="N638" s="180">
        <f t="shared" si="119"/>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20"/>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17"/>
        <v>0.51249999999999996</v>
      </c>
      <c r="K639" s="178">
        <f>SUMIFS(Table1[Horas efetivas],Table1[Tabela],Plano_V3!E639,Table1[Campo],Plano_V3!F639)</f>
        <v>1.0249999999999999</v>
      </c>
      <c r="L639" s="178">
        <f t="shared" si="118"/>
        <v>0.12812499999999999</v>
      </c>
      <c r="M639" s="180"/>
      <c r="N639" s="180">
        <f t="shared" si="119"/>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20"/>
        <v>lt007_instr_activityenvrnmntl_objctv</v>
      </c>
      <c r="B640" s="67" t="s">
        <v>26</v>
      </c>
      <c r="C640" s="68" t="s">
        <v>26</v>
      </c>
      <c r="D640" s="64" t="s">
        <v>40</v>
      </c>
      <c r="E640" s="70" t="s">
        <v>1887</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17"/>
        <v>0.51249999999999996</v>
      </c>
      <c r="K640" s="178">
        <f>SUMIFS(Table1[Horas efetivas],Table1[Tabela],Plano_V3!E640,Table1[Campo],Plano_V3!F640)</f>
        <v>4.0999999999999996</v>
      </c>
      <c r="L640" s="178">
        <f t="shared" si="118"/>
        <v>0.51249999999999996</v>
      </c>
      <c r="M640" s="180"/>
      <c r="N640" s="180">
        <f t="shared" si="119"/>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20"/>
        <v>lt007_instr_activitytyp_actvty</v>
      </c>
      <c r="B641" s="67" t="s">
        <v>26</v>
      </c>
      <c r="C641" s="68" t="s">
        <v>26</v>
      </c>
      <c r="D641" s="64" t="s">
        <v>40</v>
      </c>
      <c r="E641" s="70" t="s">
        <v>1887</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17"/>
        <v>0.51249999999999996</v>
      </c>
      <c r="K641" s="178">
        <f>SUMIFS(Table1[Horas efetivas],Table1[Tabela],Plano_V3!E641,Table1[Campo],Plano_V3!F641)</f>
        <v>4.0999999999999996</v>
      </c>
      <c r="L641" s="178">
        <f t="shared" si="118"/>
        <v>0.51249999999999996</v>
      </c>
      <c r="M641" s="180"/>
      <c r="N641" s="180">
        <f t="shared" si="119"/>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20"/>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17"/>
        <v>0.51249999999999996</v>
      </c>
      <c r="K642" s="178">
        <f>SUMIFS(Table1[Horas efetivas],Table1[Tabela],Plano_V3!E642,Table1[Campo],Plano_V3!F642)</f>
        <v>4.0999999999999996</v>
      </c>
      <c r="L642" s="178">
        <f t="shared" si="118"/>
        <v>0.51249999999999996</v>
      </c>
      <c r="M642" s="180"/>
      <c r="N642" s="180">
        <f t="shared" si="119"/>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20"/>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17"/>
        <v>0.51249999999999996</v>
      </c>
      <c r="K643" s="178">
        <f>SUMIFS(Table1[Horas efetivas],Table1[Tabela],Plano_V3!E643,Table1[Campo],Plano_V3!F643)</f>
        <v>1.0249999999999999</v>
      </c>
      <c r="L643" s="178">
        <f t="shared" si="118"/>
        <v>0.12812499999999999</v>
      </c>
      <c r="M643" s="180"/>
      <c r="N643" s="180">
        <f t="shared" si="119"/>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20"/>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17"/>
        <v>0.51249999999999996</v>
      </c>
      <c r="K644" s="178">
        <f>SUMIFS(Table1[Horas efetivas],Table1[Tabela],Plano_V3!E644,Table1[Campo],Plano_V3!F644)</f>
        <v>1.0249999999999999</v>
      </c>
      <c r="L644" s="178">
        <f t="shared" si="118"/>
        <v>0.12812499999999999</v>
      </c>
      <c r="M644" s="180"/>
      <c r="N644" s="180">
        <f t="shared" si="119"/>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20"/>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17"/>
        <v>0.51249999999999996</v>
      </c>
      <c r="K645" s="178">
        <f>SUMIFS(Table1[Horas efetivas],Table1[Tabela],Plano_V3!E645,Table1[Campo],Plano_V3!F645)</f>
        <v>1.0249999999999999</v>
      </c>
      <c r="L645" s="178">
        <f t="shared" si="118"/>
        <v>0.12812499999999999</v>
      </c>
      <c r="M645" s="180"/>
      <c r="N645" s="180">
        <f t="shared" si="119"/>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20"/>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17"/>
        <v>0.51249999999999996</v>
      </c>
      <c r="K646" s="178">
        <f>SUMIFS(Table1[Horas efetivas],Table1[Tabela],Plano_V3!E646,Table1[Campo],Plano_V3!F646)</f>
        <v>4.0999999999999996</v>
      </c>
      <c r="L646" s="178">
        <f t="shared" si="118"/>
        <v>0.51249999999999996</v>
      </c>
      <c r="M646" s="180"/>
      <c r="N646" s="180">
        <f t="shared" si="119"/>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28">E647&amp;F647</f>
        <v>lt002_instrumentFRBRNC_STTS_INSTRMNT</v>
      </c>
      <c r="B647" s="67" t="s">
        <v>26</v>
      </c>
      <c r="C647" s="68" t="s">
        <v>26</v>
      </c>
      <c r="D647" s="64" t="s">
        <v>40</v>
      </c>
      <c r="E647" s="70" t="s">
        <v>379</v>
      </c>
      <c r="F647" s="71" t="s">
        <v>2227</v>
      </c>
      <c r="G647" s="64" t="str">
        <f>INDEX(Auxiliar!$B$16:$B$24,MATCH(Plano_V3!H647,Auxiliar!$C$16:$C$24,0),1)</f>
        <v>7. Por iniciar</v>
      </c>
      <c r="H647" s="64">
        <f>VLOOKUP(A647,'Aux - pivots1'!$A:$B,2,0)</f>
        <v>8</v>
      </c>
      <c r="I647" s="178">
        <f>SUMIFS(Table1[Estimação (horas)],Table1[Tabela],Plano_V3!E647,Table1[Campo],Plano_V3!F647)</f>
        <v>2</v>
      </c>
      <c r="J647" s="178">
        <f t="shared" ref="J647:J662" si="129">I647/8</f>
        <v>0.25</v>
      </c>
      <c r="K647" s="178">
        <f>SUMIFS(Table1[Horas efetivas],Table1[Tabela],Plano_V3!E647,Table1[Campo],Plano_V3!F647)</f>
        <v>0</v>
      </c>
      <c r="L647" s="178">
        <f t="shared" ref="L647:L662" si="130">K647/8</f>
        <v>0</v>
      </c>
      <c r="M647" s="180"/>
      <c r="N647" s="180">
        <f t="shared" ref="N647:N662" si="131">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28"/>
        <v>lt002_instrumentINTRNL_SGMNT</v>
      </c>
      <c r="B648" s="67" t="s">
        <v>26</v>
      </c>
      <c r="C648" s="68" t="s">
        <v>26</v>
      </c>
      <c r="D648" s="64" t="s">
        <v>40</v>
      </c>
      <c r="E648" s="70" t="s">
        <v>379</v>
      </c>
      <c r="F648" s="71" t="s">
        <v>2228</v>
      </c>
      <c r="G648" s="64" t="str">
        <f>INDEX(Auxiliar!$B$16:$B$24,MATCH(Plano_V3!H648,Auxiliar!$C$16:$C$24,0),1)</f>
        <v>7. Por iniciar</v>
      </c>
      <c r="H648" s="64">
        <f>VLOOKUP(A648,'Aux - pivots1'!$A:$B,2,0)</f>
        <v>8</v>
      </c>
      <c r="I648" s="178">
        <f>SUMIFS(Table1[Estimação (horas)],Table1[Tabela],Plano_V3!E648,Table1[Campo],Plano_V3!F648)</f>
        <v>2</v>
      </c>
      <c r="J648" s="178">
        <f t="shared" si="129"/>
        <v>0.25</v>
      </c>
      <c r="K648" s="178">
        <f>SUMIFS(Table1[Horas efetivas],Table1[Tabela],Plano_V3!E648,Table1[Campo],Plano_V3!F648)</f>
        <v>0</v>
      </c>
      <c r="L648" s="178">
        <f t="shared" si="130"/>
        <v>0</v>
      </c>
      <c r="M648" s="180"/>
      <c r="N648" s="180">
        <f t="shared" si="131"/>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28"/>
        <v>lt002_instrumentDT_ORGNL_MTRTY</v>
      </c>
      <c r="B649" s="67" t="s">
        <v>26</v>
      </c>
      <c r="C649" s="68" t="s">
        <v>26</v>
      </c>
      <c r="D649" s="64" t="s">
        <v>40</v>
      </c>
      <c r="E649" s="70" t="s">
        <v>379</v>
      </c>
      <c r="F649" s="71" t="s">
        <v>2229</v>
      </c>
      <c r="G649" s="64" t="str">
        <f>INDEX(Auxiliar!$B$16:$B$24,MATCH(Plano_V3!H649,Auxiliar!$C$16:$C$24,0),1)</f>
        <v>7. Por iniciar</v>
      </c>
      <c r="H649" s="64">
        <f>VLOOKUP(A649,'Aux - pivots1'!$A:$B,2,0)</f>
        <v>8</v>
      </c>
      <c r="I649" s="178">
        <f>SUMIFS(Table1[Estimação (horas)],Table1[Tabela],Plano_V3!E649,Table1[Campo],Plano_V3!F649)</f>
        <v>2</v>
      </c>
      <c r="J649" s="178">
        <f t="shared" si="129"/>
        <v>0.25</v>
      </c>
      <c r="K649" s="178">
        <f>SUMIFS(Table1[Horas efetivas],Table1[Tabela],Plano_V3!E649,Table1[Campo],Plano_V3!F649)</f>
        <v>0</v>
      </c>
      <c r="L649" s="178">
        <f t="shared" si="130"/>
        <v>0</v>
      </c>
      <c r="M649" s="180"/>
      <c r="N649" s="180">
        <f t="shared" si="131"/>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28"/>
        <v>lt002_instrumentEAD</v>
      </c>
      <c r="B650" s="67" t="s">
        <v>26</v>
      </c>
      <c r="C650" s="68" t="s">
        <v>26</v>
      </c>
      <c r="D650" s="64" t="s">
        <v>40</v>
      </c>
      <c r="E650" s="70" t="s">
        <v>379</v>
      </c>
      <c r="F650" s="71" t="s">
        <v>2230</v>
      </c>
      <c r="G650" s="64" t="str">
        <f>INDEX(Auxiliar!$B$16:$B$24,MATCH(Plano_V3!H650,Auxiliar!$C$16:$C$24,0),1)</f>
        <v>7. Por iniciar</v>
      </c>
      <c r="H650" s="64">
        <f>VLOOKUP(A650,'Aux - pivots1'!$A:$B,2,0)</f>
        <v>8</v>
      </c>
      <c r="I650" s="178">
        <f>SUMIFS(Table1[Estimação (horas)],Table1[Tabela],Plano_V3!E650,Table1[Campo],Plano_V3!F650)</f>
        <v>2</v>
      </c>
      <c r="J650" s="178">
        <f t="shared" si="129"/>
        <v>0.25</v>
      </c>
      <c r="K650" s="178">
        <f>SUMIFS(Table1[Horas efetivas],Table1[Tabela],Plano_V3!E650,Table1[Campo],Plano_V3!F650)</f>
        <v>0</v>
      </c>
      <c r="L650" s="178">
        <f t="shared" si="130"/>
        <v>0</v>
      </c>
      <c r="M650" s="180"/>
      <c r="N650" s="180">
        <f t="shared" si="131"/>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28"/>
        <v>lt002_instrumentOFF_BLNC_SHT_AMNT_INSTRMNT</v>
      </c>
      <c r="B651" s="67" t="s">
        <v>26</v>
      </c>
      <c r="C651" s="68" t="s">
        <v>26</v>
      </c>
      <c r="D651" s="64" t="s">
        <v>40</v>
      </c>
      <c r="E651" s="70" t="s">
        <v>379</v>
      </c>
      <c r="F651" s="71" t="s">
        <v>1434</v>
      </c>
      <c r="G651" s="64" t="str">
        <f>INDEX(Auxiliar!$B$16:$B$24,MATCH(Plano_V3!H651,Auxiliar!$C$16:$C$24,0),1)</f>
        <v>7. Por iniciar</v>
      </c>
      <c r="H651" s="64">
        <f>VLOOKUP(A651,'Aux - pivots1'!$A:$B,2,0)</f>
        <v>8</v>
      </c>
      <c r="I651" s="178">
        <f>SUMIFS(Table1[Estimação (horas)],Table1[Tabela],Plano_V3!E651,Table1[Campo],Plano_V3!F651)</f>
        <v>2</v>
      </c>
      <c r="J651" s="178">
        <f t="shared" si="129"/>
        <v>0.25</v>
      </c>
      <c r="K651" s="178">
        <f>SUMIFS(Table1[Horas efetivas],Table1[Tabela],Plano_V3!E651,Table1[Campo],Plano_V3!F651)</f>
        <v>0</v>
      </c>
      <c r="L651" s="178">
        <f t="shared" si="130"/>
        <v>0</v>
      </c>
      <c r="M651" s="180"/>
      <c r="N651" s="180">
        <f t="shared" si="131"/>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28"/>
        <v>lt002_instrumentRWA</v>
      </c>
      <c r="B652" s="67" t="s">
        <v>26</v>
      </c>
      <c r="C652" s="68" t="s">
        <v>26</v>
      </c>
      <c r="D652" s="64" t="s">
        <v>40</v>
      </c>
      <c r="E652" s="70" t="s">
        <v>379</v>
      </c>
      <c r="F652" s="71" t="s">
        <v>1440</v>
      </c>
      <c r="G652" s="64" t="str">
        <f>INDEX(Auxiliar!$B$16:$B$24,MATCH(Plano_V3!H652,Auxiliar!$C$16:$C$24,0),1)</f>
        <v>7. Por iniciar</v>
      </c>
      <c r="H652" s="64">
        <f>VLOOKUP(A652,'Aux - pivots1'!$A:$B,2,0)</f>
        <v>8</v>
      </c>
      <c r="I652" s="178">
        <f>SUMIFS(Table1[Estimação (horas)],Table1[Tabela],Plano_V3!E652,Table1[Campo],Plano_V3!F652)</f>
        <v>2</v>
      </c>
      <c r="J652" s="178">
        <f t="shared" si="129"/>
        <v>0.25</v>
      </c>
      <c r="K652" s="178">
        <f>SUMIFS(Table1[Horas efetivas],Table1[Tabela],Plano_V3!E652,Table1[Campo],Plano_V3!F652)</f>
        <v>0</v>
      </c>
      <c r="L652" s="178">
        <f t="shared" si="130"/>
        <v>0</v>
      </c>
      <c r="M652" s="180"/>
      <c r="N652" s="180">
        <f t="shared" si="131"/>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28"/>
        <v>lt002_instrumentLTV</v>
      </c>
      <c r="B653" s="67" t="s">
        <v>26</v>
      </c>
      <c r="C653" s="68" t="s">
        <v>26</v>
      </c>
      <c r="D653" s="64" t="s">
        <v>40</v>
      </c>
      <c r="E653" s="70" t="s">
        <v>379</v>
      </c>
      <c r="F653" s="71" t="s">
        <v>2231</v>
      </c>
      <c r="G653" s="64" t="str">
        <f>INDEX(Auxiliar!$B$16:$B$24,MATCH(Plano_V3!H653,Auxiliar!$C$16:$C$24,0),1)</f>
        <v>7. Por iniciar</v>
      </c>
      <c r="H653" s="64">
        <f>VLOOKUP(A653,'Aux - pivots1'!$A:$B,2,0)</f>
        <v>8</v>
      </c>
      <c r="I653" s="178">
        <f>SUMIFS(Table1[Estimação (horas)],Table1[Tabela],Plano_V3!E653,Table1[Campo],Plano_V3!F653)</f>
        <v>2</v>
      </c>
      <c r="J653" s="178">
        <f t="shared" si="129"/>
        <v>0.25</v>
      </c>
      <c r="K653" s="178">
        <f>SUMIFS(Table1[Horas efetivas],Table1[Tabela],Plano_V3!E653,Table1[Campo],Plano_V3!F653)</f>
        <v>0</v>
      </c>
      <c r="L653" s="178">
        <f t="shared" si="130"/>
        <v>0</v>
      </c>
      <c r="M653" s="180"/>
      <c r="N653" s="180">
        <f t="shared" si="131"/>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28"/>
        <v>lt002_instrumentLTV_INCPTN</v>
      </c>
      <c r="B654" s="67" t="s">
        <v>26</v>
      </c>
      <c r="C654" s="68" t="s">
        <v>26</v>
      </c>
      <c r="D654" s="64" t="s">
        <v>40</v>
      </c>
      <c r="E654" s="70" t="s">
        <v>379</v>
      </c>
      <c r="F654" s="71" t="s">
        <v>2232</v>
      </c>
      <c r="G654" s="64" t="str">
        <f>INDEX(Auxiliar!$B$16:$B$24,MATCH(Plano_V3!H654,Auxiliar!$C$16:$C$24,0),1)</f>
        <v>7. Por iniciar</v>
      </c>
      <c r="H654" s="64">
        <f>VLOOKUP(A654,'Aux - pivots1'!$A:$B,2,0)</f>
        <v>8</v>
      </c>
      <c r="I654" s="178">
        <f>SUMIFS(Table1[Estimação (horas)],Table1[Tabela],Plano_V3!E654,Table1[Campo],Plano_V3!F654)</f>
        <v>2</v>
      </c>
      <c r="J654" s="178">
        <f t="shared" si="129"/>
        <v>0.25</v>
      </c>
      <c r="K654" s="178">
        <f>SUMIFS(Table1[Horas efetivas],Table1[Tabela],Plano_V3!E654,Table1[Campo],Plano_V3!F654)</f>
        <v>0</v>
      </c>
      <c r="L654" s="178">
        <f t="shared" si="130"/>
        <v>0</v>
      </c>
      <c r="M654" s="180"/>
      <c r="N654" s="180">
        <f t="shared" si="131"/>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28"/>
        <v>lt002_instrumentEIR</v>
      </c>
      <c r="B655" s="67" t="s">
        <v>26</v>
      </c>
      <c r="C655" s="68" t="s">
        <v>26</v>
      </c>
      <c r="D655" s="64" t="s">
        <v>40</v>
      </c>
      <c r="E655" s="70" t="s">
        <v>379</v>
      </c>
      <c r="F655" s="71" t="s">
        <v>2233</v>
      </c>
      <c r="G655" s="64" t="str">
        <f>INDEX(Auxiliar!$B$16:$B$24,MATCH(Plano_V3!H655,Auxiliar!$C$16:$C$24,0),1)</f>
        <v>7. Por iniciar</v>
      </c>
      <c r="H655" s="64">
        <f>VLOOKUP(A655,'Aux - pivots1'!$A:$B,2,0)</f>
        <v>8</v>
      </c>
      <c r="I655" s="178">
        <f>SUMIFS(Table1[Estimação (horas)],Table1[Tabela],Plano_V3!E655,Table1[Campo],Plano_V3!F655)</f>
        <v>2</v>
      </c>
      <c r="J655" s="178">
        <f t="shared" si="129"/>
        <v>0.25</v>
      </c>
      <c r="K655" s="178">
        <f>SUMIFS(Table1[Horas efetivas],Table1[Tabela],Plano_V3!E655,Table1[Campo],Plano_V3!F655)</f>
        <v>0</v>
      </c>
      <c r="L655" s="178">
        <f t="shared" si="130"/>
        <v>0</v>
      </c>
      <c r="M655" s="180"/>
      <c r="N655" s="180">
        <f t="shared" si="131"/>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28"/>
        <v>lt002_instrumentEIR_INCPTN</v>
      </c>
      <c r="B656" s="67" t="s">
        <v>26</v>
      </c>
      <c r="C656" s="68" t="s">
        <v>26</v>
      </c>
      <c r="D656" s="64" t="s">
        <v>40</v>
      </c>
      <c r="E656" s="70" t="s">
        <v>379</v>
      </c>
      <c r="F656" s="71" t="s">
        <v>2234</v>
      </c>
      <c r="G656" s="64" t="str">
        <f>INDEX(Auxiliar!$B$16:$B$24,MATCH(Plano_V3!H656,Auxiliar!$C$16:$C$24,0),1)</f>
        <v>7. Por iniciar</v>
      </c>
      <c r="H656" s="64">
        <f>VLOOKUP(A656,'Aux - pivots1'!$A:$B,2,0)</f>
        <v>8</v>
      </c>
      <c r="I656" s="178">
        <f>SUMIFS(Table1[Estimação (horas)],Table1[Tabela],Plano_V3!E656,Table1[Campo],Plano_V3!F656)</f>
        <v>2</v>
      </c>
      <c r="J656" s="178">
        <f t="shared" si="129"/>
        <v>0.25</v>
      </c>
      <c r="K656" s="178">
        <f>SUMIFS(Table1[Horas efetivas],Table1[Tabela],Plano_V3!E656,Table1[Campo],Plano_V3!F656)</f>
        <v>0</v>
      </c>
      <c r="L656" s="178">
        <f t="shared" si="130"/>
        <v>0</v>
      </c>
      <c r="M656" s="180"/>
      <c r="N656" s="180">
        <f t="shared" si="131"/>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28"/>
        <v>lt002_instrumentINTRNL_SGMNT_CAT_MSTA</v>
      </c>
      <c r="B657" s="67" t="s">
        <v>26</v>
      </c>
      <c r="C657" s="68" t="s">
        <v>26</v>
      </c>
      <c r="D657" s="64" t="s">
        <v>40</v>
      </c>
      <c r="E657" s="70" t="s">
        <v>379</v>
      </c>
      <c r="F657" s="71" t="s">
        <v>2235</v>
      </c>
      <c r="G657" s="64" t="str">
        <f>INDEX(Auxiliar!$B$16:$B$24,MATCH(Plano_V3!H657,Auxiliar!$C$16:$C$24,0),1)</f>
        <v>7. Por iniciar</v>
      </c>
      <c r="H657" s="64">
        <f>VLOOKUP(A657,'Aux - pivots1'!$A:$B,2,0)</f>
        <v>8</v>
      </c>
      <c r="I657" s="178">
        <f>SUMIFS(Table1[Estimação (horas)],Table1[Tabela],Plano_V3!E657,Table1[Campo],Plano_V3!F657)</f>
        <v>2</v>
      </c>
      <c r="J657" s="178">
        <f t="shared" si="129"/>
        <v>0.25</v>
      </c>
      <c r="K657" s="178">
        <f>SUMIFS(Table1[Horas efetivas],Table1[Tabela],Plano_V3!E657,Table1[Campo],Plano_V3!F657)</f>
        <v>0</v>
      </c>
      <c r="L657" s="178">
        <f t="shared" si="130"/>
        <v>0</v>
      </c>
      <c r="M657" s="180"/>
      <c r="N657" s="180">
        <f t="shared" si="131"/>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28"/>
        <v>lt002_instrumentINTRNL_SGMNT_CATGSUB</v>
      </c>
      <c r="B658" s="67" t="s">
        <v>26</v>
      </c>
      <c r="C658" s="68" t="s">
        <v>26</v>
      </c>
      <c r="D658" s="64" t="s">
        <v>40</v>
      </c>
      <c r="E658" s="70" t="s">
        <v>379</v>
      </c>
      <c r="F658" s="71" t="s">
        <v>2236</v>
      </c>
      <c r="G658" s="64" t="str">
        <f>INDEX(Auxiliar!$B$16:$B$24,MATCH(Plano_V3!H658,Auxiliar!$C$16:$C$24,0),1)</f>
        <v>7. Por iniciar</v>
      </c>
      <c r="H658" s="64">
        <f>VLOOKUP(A658,'Aux - pivots1'!$A:$B,2,0)</f>
        <v>8</v>
      </c>
      <c r="I658" s="178">
        <f>SUMIFS(Table1[Estimação (horas)],Table1[Tabela],Plano_V3!E658,Table1[Campo],Plano_V3!F658)</f>
        <v>2</v>
      </c>
      <c r="J658" s="178">
        <f t="shared" si="129"/>
        <v>0.25</v>
      </c>
      <c r="K658" s="178">
        <f>SUMIFS(Table1[Horas efetivas],Table1[Tabela],Plano_V3!E658,Table1[Campo],Plano_V3!F658)</f>
        <v>0</v>
      </c>
      <c r="L658" s="178">
        <f t="shared" si="130"/>
        <v>0</v>
      </c>
      <c r="M658" s="180"/>
      <c r="N658" s="180">
        <f t="shared" si="131"/>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28"/>
        <v>lt002_instrumentNW_BSNSS</v>
      </c>
      <c r="B659" s="67" t="s">
        <v>26</v>
      </c>
      <c r="C659" s="68" t="s">
        <v>26</v>
      </c>
      <c r="D659" s="64" t="s">
        <v>40</v>
      </c>
      <c r="E659" s="70" t="s">
        <v>379</v>
      </c>
      <c r="F659" s="71" t="s">
        <v>1356</v>
      </c>
      <c r="G659" s="64" t="str">
        <f>INDEX(Auxiliar!$B$16:$B$24,MATCH(Plano_V3!H659,Auxiliar!$C$16:$C$24,0),1)</f>
        <v>7. Por iniciar</v>
      </c>
      <c r="H659" s="64">
        <f>VLOOKUP(A659,'Aux - pivots1'!$A:$B,2,0)</f>
        <v>8</v>
      </c>
      <c r="I659" s="178">
        <f>SUMIFS(Table1[Estimação (horas)],Table1[Tabela],Plano_V3!E659,Table1[Campo],Plano_V3!F659)</f>
        <v>2</v>
      </c>
      <c r="J659" s="178">
        <f t="shared" si="129"/>
        <v>0.25</v>
      </c>
      <c r="K659" s="178">
        <f>SUMIFS(Table1[Horas efetivas],Table1[Tabela],Plano_V3!E659,Table1[Campo],Plano_V3!F659)</f>
        <v>0</v>
      </c>
      <c r="L659" s="178">
        <f t="shared" si="130"/>
        <v>0</v>
      </c>
      <c r="M659" s="180"/>
      <c r="N659" s="180">
        <f t="shared" si="131"/>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28"/>
        <v>lt002_instrumentCNCLLD_INSTRMNT_STTS</v>
      </c>
      <c r="B660" s="67" t="s">
        <v>26</v>
      </c>
      <c r="C660" s="68" t="s">
        <v>26</v>
      </c>
      <c r="D660" s="64" t="s">
        <v>40</v>
      </c>
      <c r="E660" s="70" t="s">
        <v>379</v>
      </c>
      <c r="F660" s="71" t="s">
        <v>1366</v>
      </c>
      <c r="G660" s="64" t="str">
        <f>INDEX(Auxiliar!$B$16:$B$24,MATCH(Plano_V3!H660,Auxiliar!$C$16:$C$24,0),1)</f>
        <v>7. Por iniciar</v>
      </c>
      <c r="H660" s="64">
        <f>VLOOKUP(A660,'Aux - pivots1'!$A:$B,2,0)</f>
        <v>8</v>
      </c>
      <c r="I660" s="178">
        <f>SUMIFS(Table1[Estimação (horas)],Table1[Tabela],Plano_V3!E660,Table1[Campo],Plano_V3!F660)</f>
        <v>2</v>
      </c>
      <c r="J660" s="178">
        <f t="shared" si="129"/>
        <v>0.25</v>
      </c>
      <c r="K660" s="178">
        <f>SUMIFS(Table1[Horas efetivas],Table1[Tabela],Plano_V3!E660,Table1[Campo],Plano_V3!F660)</f>
        <v>0</v>
      </c>
      <c r="L660" s="178">
        <f t="shared" si="130"/>
        <v>0</v>
      </c>
      <c r="M660" s="180"/>
      <c r="N660" s="180">
        <f t="shared" si="131"/>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28"/>
        <v>lt002_instrumentTYP_OFF_BLNC_PRDCT</v>
      </c>
      <c r="B661" s="67" t="s">
        <v>26</v>
      </c>
      <c r="C661" s="68" t="s">
        <v>26</v>
      </c>
      <c r="D661" s="64" t="s">
        <v>40</v>
      </c>
      <c r="E661" s="70" t="s">
        <v>379</v>
      </c>
      <c r="F661" s="71" t="s">
        <v>2237</v>
      </c>
      <c r="G661" s="64" t="str">
        <f>INDEX(Auxiliar!$B$16:$B$24,MATCH(Plano_V3!H661,Auxiliar!$C$16:$C$24,0),1)</f>
        <v>7. Por iniciar</v>
      </c>
      <c r="H661" s="64">
        <f>VLOOKUP(A661,'Aux - pivots1'!$A:$B,2,0)</f>
        <v>8</v>
      </c>
      <c r="I661" s="178">
        <f>SUMIFS(Table1[Estimação (horas)],Table1[Tabela],Plano_V3!E661,Table1[Campo],Plano_V3!F661)</f>
        <v>2</v>
      </c>
      <c r="J661" s="178">
        <f t="shared" si="129"/>
        <v>0.25</v>
      </c>
      <c r="K661" s="178">
        <f>SUMIFS(Table1[Horas efetivas],Table1[Tabela],Plano_V3!E661,Table1[Campo],Plano_V3!F661)</f>
        <v>0</v>
      </c>
      <c r="L661" s="178">
        <f t="shared" si="130"/>
        <v>0</v>
      </c>
      <c r="M661" s="180"/>
      <c r="N661" s="180">
        <f t="shared" si="131"/>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28"/>
        <v>lt002_instrumentFLG_MNMM_SFGRDS</v>
      </c>
      <c r="B662" s="67" t="s">
        <v>26</v>
      </c>
      <c r="C662" s="68" t="s">
        <v>26</v>
      </c>
      <c r="D662" s="64" t="s">
        <v>40</v>
      </c>
      <c r="E662" s="70" t="s">
        <v>379</v>
      </c>
      <c r="F662" s="71" t="s">
        <v>2238</v>
      </c>
      <c r="G662" s="64" t="str">
        <f>INDEX(Auxiliar!$B$16:$B$24,MATCH(Plano_V3!H662,Auxiliar!$C$16:$C$24,0),1)</f>
        <v>7. Por iniciar</v>
      </c>
      <c r="H662" s="64">
        <f>VLOOKUP(A662,'Aux - pivots1'!$A:$B,2,0)</f>
        <v>8</v>
      </c>
      <c r="I662" s="178">
        <f>SUMIFS(Table1[Estimação (horas)],Table1[Tabela],Plano_V3!E662,Table1[Campo],Plano_V3!F662)</f>
        <v>2</v>
      </c>
      <c r="J662" s="178">
        <f t="shared" si="129"/>
        <v>0.25</v>
      </c>
      <c r="K662" s="178">
        <f>SUMIFS(Table1[Horas efetivas],Table1[Tabela],Plano_V3!E662,Table1[Campo],Plano_V3!F662)</f>
        <v>0</v>
      </c>
      <c r="L662" s="178">
        <f t="shared" si="130"/>
        <v>0</v>
      </c>
      <c r="M662" s="180"/>
      <c r="N662" s="180">
        <f t="shared" si="131"/>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20"/>
        <v>lt827_mthd_usd_instrmntambito</v>
      </c>
      <c r="B663" s="67" t="s">
        <v>26</v>
      </c>
      <c r="C663" s="68" t="s">
        <v>26</v>
      </c>
      <c r="D663" s="64" t="s">
        <v>40</v>
      </c>
      <c r="E663" s="70" t="s">
        <v>1888</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si="117"/>
        <v>0.51249999999999996</v>
      </c>
      <c r="K663" s="178">
        <f>SUMIFS(Table1[Horas efetivas],Table1[Tabela],Plano_V3!E663,Table1[Campo],Plano_V3!F663)</f>
        <v>4.0999999999999996</v>
      </c>
      <c r="L663" s="178">
        <f t="shared" si="118"/>
        <v>0.51249999999999996</v>
      </c>
      <c r="M663" s="180"/>
      <c r="N663" s="180">
        <f t="shared" si="119"/>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20"/>
        <v>lt827_mthd_usd_instrmntref_date</v>
      </c>
      <c r="B664" s="67" t="s">
        <v>26</v>
      </c>
      <c r="C664" s="68" t="s">
        <v>26</v>
      </c>
      <c r="D664" s="64" t="s">
        <v>40</v>
      </c>
      <c r="E664" s="70" t="s">
        <v>1888</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7"/>
        <v>0.51249999999999996</v>
      </c>
      <c r="K664" s="178">
        <f>SUMIFS(Table1[Horas efetivas],Table1[Tabela],Plano_V3!E664,Table1[Campo],Plano_V3!F664)</f>
        <v>4.0999999999999996</v>
      </c>
      <c r="L664" s="178">
        <f t="shared" si="118"/>
        <v>0.51249999999999996</v>
      </c>
      <c r="M664" s="180"/>
      <c r="N664" s="180">
        <f t="shared" si="119"/>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20"/>
        <v>lt827_mthd_usd_instrmntordem</v>
      </c>
      <c r="B665" s="67" t="s">
        <v>26</v>
      </c>
      <c r="C665" s="68" t="s">
        <v>26</v>
      </c>
      <c r="D665" s="64" t="s">
        <v>40</v>
      </c>
      <c r="E665" s="70" t="s">
        <v>1888</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7"/>
        <v>0.51249999999999996</v>
      </c>
      <c r="K665" s="178">
        <f>SUMIFS(Table1[Horas efetivas],Table1[Tabela],Plano_V3!E665,Table1[Campo],Plano_V3!F665)</f>
        <v>4.0999999999999996</v>
      </c>
      <c r="L665" s="178">
        <f t="shared" si="118"/>
        <v>0.51249999999999996</v>
      </c>
      <c r="M665" s="180"/>
      <c r="N665" s="180">
        <f t="shared" si="119"/>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20"/>
        <v>lt827_mthd_usd_instrmnttabela</v>
      </c>
      <c r="B666" s="67" t="s">
        <v>26</v>
      </c>
      <c r="C666" s="68" t="s">
        <v>26</v>
      </c>
      <c r="D666" s="64" t="s">
        <v>40</v>
      </c>
      <c r="E666" s="70" t="s">
        <v>1888</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7"/>
        <v>0.51249999999999996</v>
      </c>
      <c r="K666" s="178">
        <f>SUMIFS(Table1[Horas efetivas],Table1[Tabela],Plano_V3!E666,Table1[Campo],Plano_V3!F666)</f>
        <v>4.0999999999999996</v>
      </c>
      <c r="L666" s="178">
        <f t="shared" si="118"/>
        <v>0.51249999999999996</v>
      </c>
      <c r="M666" s="180"/>
      <c r="N666" s="180">
        <f t="shared" si="119"/>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20"/>
        <v>lt827_mthd_usd_instrmntorigem_scp1_emss</v>
      </c>
      <c r="B667" s="67" t="s">
        <v>26</v>
      </c>
      <c r="C667" s="68" t="s">
        <v>26</v>
      </c>
      <c r="D667" s="64" t="s">
        <v>40</v>
      </c>
      <c r="E667" s="70" t="s">
        <v>1888</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7"/>
        <v>0.51249999999999996</v>
      </c>
      <c r="K667" s="178">
        <f>SUMIFS(Table1[Horas efetivas],Table1[Tabela],Plano_V3!E667,Table1[Campo],Plano_V3!F667)</f>
        <v>4.0999999999999996</v>
      </c>
      <c r="L667" s="178">
        <f t="shared" si="118"/>
        <v>0.51249999999999996</v>
      </c>
      <c r="M667" s="180"/>
      <c r="N667" s="180">
        <f t="shared" si="119"/>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20"/>
        <v>lt827_mthd_usd_instrmntorigem_scp2_emss</v>
      </c>
      <c r="B668" s="67" t="s">
        <v>26</v>
      </c>
      <c r="C668" s="68" t="s">
        <v>26</v>
      </c>
      <c r="D668" s="64" t="s">
        <v>40</v>
      </c>
      <c r="E668" s="70" t="s">
        <v>1888</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7"/>
        <v>0.51249999999999996</v>
      </c>
      <c r="K668" s="178">
        <f>SUMIFS(Table1[Horas efetivas],Table1[Tabela],Plano_V3!E668,Table1[Campo],Plano_V3!F668)</f>
        <v>4.0999999999999996</v>
      </c>
      <c r="L668" s="178">
        <f t="shared" si="118"/>
        <v>0.51249999999999996</v>
      </c>
      <c r="M668" s="180"/>
      <c r="N668" s="180">
        <f t="shared" si="119"/>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20"/>
        <v>lt827_mthd_usd_instrmntorigem_scp3_emss</v>
      </c>
      <c r="B669" s="67" t="s">
        <v>26</v>
      </c>
      <c r="C669" s="68" t="s">
        <v>26</v>
      </c>
      <c r="D669" s="64" t="s">
        <v>40</v>
      </c>
      <c r="E669" s="70" t="s">
        <v>1888</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7"/>
        <v>0.51249999999999996</v>
      </c>
      <c r="K669" s="178">
        <f>SUMIFS(Table1[Horas efetivas],Table1[Tabela],Plano_V3!E669,Table1[Campo],Plano_V3!F669)</f>
        <v>4.0999999999999996</v>
      </c>
      <c r="L669" s="178">
        <f t="shared" si="118"/>
        <v>0.51249999999999996</v>
      </c>
      <c r="M669" s="180"/>
      <c r="N669" s="180">
        <f t="shared" si="119"/>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20"/>
        <v>lt827_mthd_usd_instrmntmthd_usd_instrmnt_scp_1</v>
      </c>
      <c r="B670" s="67" t="s">
        <v>26</v>
      </c>
      <c r="C670" s="68" t="s">
        <v>26</v>
      </c>
      <c r="D670" s="64" t="s">
        <v>40</v>
      </c>
      <c r="E670" s="70" t="s">
        <v>1888</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7"/>
        <v>0.51249999999999996</v>
      </c>
      <c r="K670" s="178">
        <f>SUMIFS(Table1[Horas efetivas],Table1[Tabela],Plano_V3!E670,Table1[Campo],Plano_V3!F670)</f>
        <v>4.0999999999999996</v>
      </c>
      <c r="L670" s="178">
        <f t="shared" si="118"/>
        <v>0.51249999999999996</v>
      </c>
      <c r="M670" s="180"/>
      <c r="N670" s="180">
        <f t="shared" si="119"/>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20"/>
        <v>lt827_mthd_usd_instrmntmthd_usd_instrmnt_scp_2</v>
      </c>
      <c r="B671" s="67" t="s">
        <v>26</v>
      </c>
      <c r="C671" s="68" t="s">
        <v>26</v>
      </c>
      <c r="D671" s="64" t="s">
        <v>40</v>
      </c>
      <c r="E671" s="70" t="s">
        <v>1888</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7"/>
        <v>0.51249999999999996</v>
      </c>
      <c r="K671" s="178">
        <f>SUMIFS(Table1[Horas efetivas],Table1[Tabela],Plano_V3!E671,Table1[Campo],Plano_V3!F671)</f>
        <v>4.0999999999999996</v>
      </c>
      <c r="L671" s="178">
        <f t="shared" si="118"/>
        <v>0.51249999999999996</v>
      </c>
      <c r="M671" s="180"/>
      <c r="N671" s="180">
        <f t="shared" si="119"/>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20"/>
        <v>lt827_mthd_usd_instrmntmthd_usd_instrmnt_scp_3</v>
      </c>
      <c r="B672" s="67" t="s">
        <v>26</v>
      </c>
      <c r="C672" s="68" t="s">
        <v>26</v>
      </c>
      <c r="D672" s="64" t="s">
        <v>40</v>
      </c>
      <c r="E672" s="70" t="s">
        <v>1888</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7"/>
        <v>0.51249999999999996</v>
      </c>
      <c r="K672" s="178">
        <f>SUMIFS(Table1[Horas efetivas],Table1[Tabela],Plano_V3!E672,Table1[Campo],Plano_V3!F672)</f>
        <v>4.0999999999999996</v>
      </c>
      <c r="L672" s="178">
        <f t="shared" si="118"/>
        <v>0.51249999999999996</v>
      </c>
      <c r="M672" s="180"/>
      <c r="N672" s="180">
        <f t="shared" si="119"/>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20"/>
        <v>lt827_mthd_usd_instrmntpurpose_code</v>
      </c>
      <c r="B673" s="67"/>
      <c r="C673" s="68"/>
      <c r="D673" s="64" t="s">
        <v>40</v>
      </c>
      <c r="E673" s="70" t="s">
        <v>1888</v>
      </c>
      <c r="F673" s="71" t="s">
        <v>1874</v>
      </c>
      <c r="G673" s="64" t="str">
        <f>INDEX(Auxiliar!$B$16:$B$24,MATCH(Plano_V3!H673,Auxiliar!$C$16:$C$24,0),1)</f>
        <v>1. Concluído</v>
      </c>
      <c r="H673" s="64">
        <f>VLOOKUP(A673,'Aux - pivots1'!$A:$B,2,0)</f>
        <v>1</v>
      </c>
      <c r="I673" s="178">
        <f>SUMIFS(Table1[Estimação (horas)],Table1[Tabela],Plano_V3!E673,Table1[Campo],Plano_V3!F673)</f>
        <v>4.0999999999999996</v>
      </c>
      <c r="J673" s="178">
        <f>I673/8</f>
        <v>0.51249999999999996</v>
      </c>
      <c r="K673" s="178">
        <f>SUMIFS(Table1[Horas efetivas],Table1[Tabela],Plano_V3!E673,Table1[Campo],Plano_V3!F673)</f>
        <v>4.0999999999999996</v>
      </c>
      <c r="L673" s="178">
        <f>K673/8</f>
        <v>0.51249999999999996</v>
      </c>
      <c r="M673" s="180"/>
      <c r="N673" s="180">
        <f>L673/J673</f>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20"/>
        <v>lt827_mthd_usd_instrmntflg_fin</v>
      </c>
      <c r="B674" s="67"/>
      <c r="C674" s="68"/>
      <c r="D674" s="64" t="s">
        <v>40</v>
      </c>
      <c r="E674" s="70" t="s">
        <v>1888</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I674/8</f>
        <v>0.51249999999999996</v>
      </c>
      <c r="K674" s="178">
        <f>SUMIFS(Table1[Horas efetivas],Table1[Tabela],Plano_V3!E674,Table1[Campo],Plano_V3!F674)</f>
        <v>4.0999999999999996</v>
      </c>
      <c r="L674" s="178">
        <f>K674/8</f>
        <v>0.51249999999999996</v>
      </c>
      <c r="M674" s="180"/>
      <c r="N674" s="180">
        <f>L674/J674</f>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20"/>
        <v>lt827_mthd_usd_instrmntflg_exec</v>
      </c>
      <c r="B675" s="67"/>
      <c r="C675" s="68"/>
      <c r="D675" s="64" t="s">
        <v>40</v>
      </c>
      <c r="E675" s="70" t="s">
        <v>1888</v>
      </c>
      <c r="F675" s="71" t="s">
        <v>1296</v>
      </c>
      <c r="G675" s="64" t="str">
        <f>INDEX(Auxiliar!$B$16:$B$24,MATCH(Plano_V3!H675,Auxiliar!$C$16:$C$24,0),1)</f>
        <v>1. Concluído</v>
      </c>
      <c r="H675" s="64">
        <f>VLOOKUP(A675,'Aux - pivots1'!$A:$B,2,0)</f>
        <v>1</v>
      </c>
      <c r="I675" s="178">
        <f>SUMIFS(Table1[Estimação (horas)],Table1[Tabela],Plano_V3!E675,Table1[Campo],Plano_V3!F675)</f>
        <v>4.0999999999999996</v>
      </c>
      <c r="J675" s="178">
        <f>I675/8</f>
        <v>0.51249999999999996</v>
      </c>
      <c r="K675" s="178">
        <f>SUMIFS(Table1[Horas efetivas],Table1[Tabela],Plano_V3!E675,Table1[Campo],Plano_V3!F675)</f>
        <v>4.0999999999999996</v>
      </c>
      <c r="L675" s="178">
        <f>K675/8</f>
        <v>0.51249999999999996</v>
      </c>
      <c r="M675" s="180"/>
      <c r="N675" s="180">
        <f>L675/J675</f>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20"/>
        <v>lt827_mthd_usd_instrmntflg_col</v>
      </c>
      <c r="B676" s="67"/>
      <c r="C676" s="68"/>
      <c r="D676" s="64" t="s">
        <v>40</v>
      </c>
      <c r="E676" s="70" t="s">
        <v>1888</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I676/8</f>
        <v>0.51249999999999996</v>
      </c>
      <c r="K676" s="178">
        <f>SUMIFS(Table1[Horas efetivas],Table1[Tabela],Plano_V3!E676,Table1[Campo],Plano_V3!F676)</f>
        <v>4.0999999999999996</v>
      </c>
      <c r="L676" s="178">
        <f>K676/8</f>
        <v>0.51249999999999996</v>
      </c>
      <c r="M676" s="180"/>
      <c r="N676" s="180">
        <f>L676/J676</f>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20"/>
        <v>lt827_mthd_usd_instrmntflg_pro</v>
      </c>
      <c r="B677" s="67"/>
      <c r="C677" s="68"/>
      <c r="D677" s="64" t="s">
        <v>40</v>
      </c>
      <c r="E677" s="70" t="s">
        <v>1888</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I677/8</f>
        <v>0.51249999999999996</v>
      </c>
      <c r="K677" s="178">
        <f>SUMIFS(Table1[Horas efetivas],Table1[Tabela],Plano_V3!E677,Table1[Campo],Plano_V3!F677)</f>
        <v>4.0999999999999996</v>
      </c>
      <c r="L677" s="178">
        <f>K677/8</f>
        <v>0.51249999999999996</v>
      </c>
      <c r="M677" s="180"/>
      <c r="N677" s="180">
        <f>L677/J677</f>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20"/>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7"/>
        <v>0.51249999999999996</v>
      </c>
      <c r="K678" s="178">
        <f>SUMIFS(Table1[Horas efetivas],Table1[Tabela],Plano_V3!E678,Table1[Campo],Plano_V3!F678)</f>
        <v>4.0999999999999996</v>
      </c>
      <c r="L678" s="178">
        <f t="shared" si="118"/>
        <v>0.51249999999999996</v>
      </c>
      <c r="M678" s="180"/>
      <c r="N678" s="180">
        <f t="shared" si="119"/>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20"/>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32">I679/8</f>
        <v>0.51249999999999996</v>
      </c>
      <c r="K679" s="178">
        <f>SUMIFS(Table1[Horas efetivas],Table1[Tabela],Plano_V3!E679,Table1[Campo],Plano_V3!F679)</f>
        <v>4.0999999999999996</v>
      </c>
      <c r="L679" s="178">
        <f t="shared" ref="L679:L750" si="133">K679/8</f>
        <v>0.51249999999999996</v>
      </c>
      <c r="M679" s="180"/>
      <c r="N679" s="180">
        <f t="shared" ref="N679:N753" si="134">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20"/>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32"/>
        <v>0.51249999999999996</v>
      </c>
      <c r="K680" s="178">
        <f>SUMIFS(Table1[Horas efetivas],Table1[Tabela],Plano_V3!E680,Table1[Campo],Plano_V3!F680)</f>
        <v>4.0999999999999996</v>
      </c>
      <c r="L680" s="178">
        <f t="shared" si="133"/>
        <v>0.51249999999999996</v>
      </c>
      <c r="M680" s="180"/>
      <c r="N680" s="180">
        <f t="shared" si="134"/>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20"/>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32"/>
        <v>0.51249999999999996</v>
      </c>
      <c r="K681" s="178">
        <f>SUMIFS(Table1[Horas efetivas],Table1[Tabela],Plano_V3!E681,Table1[Campo],Plano_V3!F681)</f>
        <v>4.0999999999999996</v>
      </c>
      <c r="L681" s="178">
        <f t="shared" si="133"/>
        <v>0.51249999999999996</v>
      </c>
      <c r="M681" s="180"/>
      <c r="N681" s="180">
        <f t="shared" si="134"/>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20"/>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32"/>
        <v>0.51249999999999996</v>
      </c>
      <c r="K682" s="178">
        <f>SUMIFS(Table1[Horas efetivas],Table1[Tabela],Plano_V3!E682,Table1[Campo],Plano_V3!F682)</f>
        <v>4.0999999999999996</v>
      </c>
      <c r="L682" s="178">
        <f t="shared" si="133"/>
        <v>0.51249999999999996</v>
      </c>
      <c r="M682" s="180"/>
      <c r="N682" s="180">
        <f t="shared" si="134"/>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20"/>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32"/>
        <v>0.51249999999999996</v>
      </c>
      <c r="K683" s="178">
        <f>SUMIFS(Table1[Horas efetivas],Table1[Tabela],Plano_V3!E683,Table1[Campo],Plano_V3!F683)</f>
        <v>4.0999999999999996</v>
      </c>
      <c r="L683" s="178">
        <f t="shared" si="133"/>
        <v>0.51249999999999996</v>
      </c>
      <c r="M683" s="180"/>
      <c r="N683" s="180">
        <f t="shared" si="134"/>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20"/>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32"/>
        <v>0.51249999999999996</v>
      </c>
      <c r="K684" s="178">
        <f>SUMIFS(Table1[Horas efetivas],Table1[Tabela],Plano_V3!E684,Table1[Campo],Plano_V3!F684)</f>
        <v>4.0999999999999996</v>
      </c>
      <c r="L684" s="178">
        <f t="shared" si="133"/>
        <v>0.51249999999999996</v>
      </c>
      <c r="M684" s="180"/>
      <c r="N684" s="180">
        <f t="shared" si="134"/>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20"/>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32"/>
        <v>0.51249999999999996</v>
      </c>
      <c r="K685" s="178">
        <f>SUMIFS(Table1[Horas efetivas],Table1[Tabela],Plano_V3!E685,Table1[Campo],Plano_V3!F685)</f>
        <v>4.0999999999999996</v>
      </c>
      <c r="L685" s="178">
        <f t="shared" si="133"/>
        <v>0.51249999999999996</v>
      </c>
      <c r="M685" s="180"/>
      <c r="N685" s="180">
        <f t="shared" si="134"/>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20"/>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32"/>
        <v>0.51249999999999996</v>
      </c>
      <c r="K686" s="178">
        <f>SUMIFS(Table1[Horas efetivas],Table1[Tabela],Plano_V3!E686,Table1[Campo],Plano_V3!F686)</f>
        <v>4.0999999999999996</v>
      </c>
      <c r="L686" s="178">
        <f t="shared" si="133"/>
        <v>0.51249999999999996</v>
      </c>
      <c r="M686" s="180"/>
      <c r="N686" s="180">
        <f t="shared" si="134"/>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20"/>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32"/>
        <v>1.2500000000000001E-2</v>
      </c>
      <c r="K687" s="178">
        <f>SUMIFS(Table1[Horas efetivas],Table1[Tabela],Plano_V3!E687,Table1[Campo],Plano_V3!F687)</f>
        <v>0.1</v>
      </c>
      <c r="L687" s="178">
        <f t="shared" si="133"/>
        <v>1.2500000000000001E-2</v>
      </c>
      <c r="M687" s="180"/>
      <c r="N687" s="180">
        <f t="shared" si="134"/>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20"/>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32"/>
        <v>1.2500000000000001E-2</v>
      </c>
      <c r="K688" s="178">
        <f>SUMIFS(Table1[Horas efetivas],Table1[Tabela],Plano_V3!E688,Table1[Campo],Plano_V3!F688)</f>
        <v>0.1</v>
      </c>
      <c r="L688" s="178">
        <f t="shared" si="133"/>
        <v>1.2500000000000001E-2</v>
      </c>
      <c r="M688" s="180"/>
      <c r="N688" s="180">
        <f t="shared" si="134"/>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20"/>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32"/>
        <v>1.2500000000000001E-2</v>
      </c>
      <c r="K689" s="178">
        <f>SUMIFS(Table1[Horas efetivas],Table1[Tabela],Plano_V3!E689,Table1[Campo],Plano_V3!F689)</f>
        <v>0.1</v>
      </c>
      <c r="L689" s="178">
        <f t="shared" si="133"/>
        <v>1.2500000000000001E-2</v>
      </c>
      <c r="M689" s="180"/>
      <c r="N689" s="180">
        <f t="shared" si="134"/>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20"/>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32"/>
        <v>1.2500000000000001E-2</v>
      </c>
      <c r="K690" s="178">
        <f>SUMIFS(Table1[Horas efetivas],Table1[Tabela],Plano_V3!E690,Table1[Campo],Plano_V3!F690)</f>
        <v>0.1</v>
      </c>
      <c r="L690" s="178">
        <f t="shared" si="133"/>
        <v>1.2500000000000001E-2</v>
      </c>
      <c r="M690" s="180"/>
      <c r="N690" s="180">
        <f t="shared" si="134"/>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20"/>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32"/>
        <v>1.2500000000000001E-2</v>
      </c>
      <c r="K691" s="178">
        <f>SUMIFS(Table1[Horas efetivas],Table1[Tabela],Plano_V3!E691,Table1[Campo],Plano_V3!F691)</f>
        <v>0.1</v>
      </c>
      <c r="L691" s="178">
        <f t="shared" si="133"/>
        <v>1.2500000000000001E-2</v>
      </c>
      <c r="M691" s="180"/>
      <c r="N691" s="180">
        <f t="shared" si="134"/>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20"/>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32"/>
        <v>1.2500000000000001E-2</v>
      </c>
      <c r="K692" s="178">
        <f>SUMIFS(Table1[Horas efetivas],Table1[Tabela],Plano_V3!E692,Table1[Campo],Plano_V3!F692)</f>
        <v>0.1</v>
      </c>
      <c r="L692" s="178">
        <f t="shared" si="133"/>
        <v>1.2500000000000001E-2</v>
      </c>
      <c r="M692" s="180"/>
      <c r="N692" s="180">
        <f t="shared" si="134"/>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20"/>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32"/>
        <v>1.2500000000000001E-2</v>
      </c>
      <c r="K693" s="178">
        <f>SUMIFS(Table1[Horas efetivas],Table1[Tabela],Plano_V3!E693,Table1[Campo],Plano_V3!F693)</f>
        <v>0.1</v>
      </c>
      <c r="L693" s="178">
        <f t="shared" si="133"/>
        <v>1.2500000000000001E-2</v>
      </c>
      <c r="M693" s="180"/>
      <c r="N693" s="180">
        <f t="shared" si="134"/>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20"/>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32"/>
        <v>1.2500000000000001E-2</v>
      </c>
      <c r="K694" s="178">
        <f>SUMIFS(Table1[Horas efetivas],Table1[Tabela],Plano_V3!E694,Table1[Campo],Plano_V3!F694)</f>
        <v>0.1</v>
      </c>
      <c r="L694" s="178">
        <f t="shared" si="133"/>
        <v>1.2500000000000001E-2</v>
      </c>
      <c r="M694" s="180"/>
      <c r="N694" s="180">
        <f t="shared" si="134"/>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20"/>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32"/>
        <v>1.2500000000000001E-2</v>
      </c>
      <c r="K695" s="178">
        <f>SUMIFS(Table1[Horas efetivas],Table1[Tabela],Plano_V3!E695,Table1[Campo],Plano_V3!F695)</f>
        <v>0.1</v>
      </c>
      <c r="L695" s="178">
        <f t="shared" si="133"/>
        <v>1.2500000000000001E-2</v>
      </c>
      <c r="M695" s="180"/>
      <c r="N695" s="180">
        <f t="shared" si="134"/>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20"/>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32"/>
        <v>1.2500000000000001E-2</v>
      </c>
      <c r="K696" s="178">
        <f>SUMIFS(Table1[Horas efetivas],Table1[Tabela],Plano_V3!E696,Table1[Campo],Plano_V3!F696)</f>
        <v>0.1</v>
      </c>
      <c r="L696" s="178">
        <f t="shared" si="133"/>
        <v>1.2500000000000001E-2</v>
      </c>
      <c r="M696" s="180"/>
      <c r="N696" s="180">
        <f t="shared" si="134"/>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20"/>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32"/>
        <v>1.2500000000000001E-2</v>
      </c>
      <c r="K697" s="178">
        <f>SUMIFS(Table1[Horas efetivas],Table1[Tabela],Plano_V3!E697,Table1[Campo],Plano_V3!F697)</f>
        <v>0.1</v>
      </c>
      <c r="L697" s="178">
        <f t="shared" si="133"/>
        <v>1.2500000000000001E-2</v>
      </c>
      <c r="M697" s="180"/>
      <c r="N697" s="180">
        <f t="shared" si="134"/>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20"/>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32"/>
        <v>1.2500000000000001E-2</v>
      </c>
      <c r="K698" s="178">
        <f>SUMIFS(Table1[Horas efetivas],Table1[Tabela],Plano_V3!E698,Table1[Campo],Plano_V3!F698)</f>
        <v>0.1</v>
      </c>
      <c r="L698" s="178">
        <f t="shared" si="133"/>
        <v>1.2500000000000001E-2</v>
      </c>
      <c r="M698" s="180"/>
      <c r="N698" s="180">
        <f t="shared" si="134"/>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20"/>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32"/>
        <v>1.2500000000000001E-2</v>
      </c>
      <c r="K699" s="178">
        <f>SUMIFS(Table1[Horas efetivas],Table1[Tabela],Plano_V3!E699,Table1[Campo],Plano_V3!F699)</f>
        <v>0.1</v>
      </c>
      <c r="L699" s="178">
        <f t="shared" si="133"/>
        <v>1.2500000000000001E-2</v>
      </c>
      <c r="M699" s="180"/>
      <c r="N699" s="180">
        <f t="shared" si="134"/>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20"/>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32"/>
        <v>1.2500000000000001E-2</v>
      </c>
      <c r="K700" s="178">
        <f>SUMIFS(Table1[Horas efetivas],Table1[Tabela],Plano_V3!E700,Table1[Campo],Plano_V3!F700)</f>
        <v>0.1</v>
      </c>
      <c r="L700" s="178">
        <f t="shared" si="133"/>
        <v>1.2500000000000001E-2</v>
      </c>
      <c r="M700" s="180"/>
      <c r="N700" s="180">
        <f t="shared" si="134"/>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20"/>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32"/>
        <v>1.2500000000000001E-2</v>
      </c>
      <c r="K701" s="178">
        <f>SUMIFS(Table1[Horas efetivas],Table1[Tabela],Plano_V3!E701,Table1[Campo],Plano_V3!F701)</f>
        <v>0.1</v>
      </c>
      <c r="L701" s="178">
        <f t="shared" si="133"/>
        <v>1.2500000000000001E-2</v>
      </c>
      <c r="M701" s="180"/>
      <c r="N701" s="180">
        <f t="shared" si="134"/>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20"/>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32"/>
        <v>1.2500000000000001E-2</v>
      </c>
      <c r="K702" s="178">
        <f>SUMIFS(Table1[Horas efetivas],Table1[Tabela],Plano_V3!E702,Table1[Campo],Plano_V3!F702)</f>
        <v>0.1</v>
      </c>
      <c r="L702" s="178">
        <f t="shared" si="133"/>
        <v>1.2500000000000001E-2</v>
      </c>
      <c r="M702" s="180"/>
      <c r="N702" s="180">
        <f t="shared" si="134"/>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20"/>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32"/>
        <v>1.2500000000000001E-2</v>
      </c>
      <c r="K703" s="178">
        <f>SUMIFS(Table1[Horas efetivas],Table1[Tabela],Plano_V3!E703,Table1[Campo],Plano_V3!F703)</f>
        <v>0.1</v>
      </c>
      <c r="L703" s="178">
        <f t="shared" si="133"/>
        <v>1.2500000000000001E-2</v>
      </c>
      <c r="M703" s="180"/>
      <c r="N703" s="180">
        <f t="shared" si="134"/>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35">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32"/>
        <v>1.2500000000000001E-2</v>
      </c>
      <c r="K704" s="178">
        <f>SUMIFS(Table1[Horas efetivas],Table1[Tabela],Plano_V3!E704,Table1[Campo],Plano_V3!F704)</f>
        <v>0.1</v>
      </c>
      <c r="L704" s="178">
        <f t="shared" si="133"/>
        <v>1.2500000000000001E-2</v>
      </c>
      <c r="M704" s="180"/>
      <c r="N704" s="180">
        <f t="shared" si="134"/>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35"/>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32"/>
        <v>1.2500000000000001E-2</v>
      </c>
      <c r="K705" s="178">
        <f>SUMIFS(Table1[Horas efetivas],Table1[Tabela],Plano_V3!E705,Table1[Campo],Plano_V3!F705)</f>
        <v>0.1</v>
      </c>
      <c r="L705" s="178">
        <f t="shared" si="133"/>
        <v>1.2500000000000001E-2</v>
      </c>
      <c r="M705" s="180"/>
      <c r="N705" s="180">
        <f t="shared" si="134"/>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35"/>
        <v>lt007_instr_activitysstnbl_indctr</v>
      </c>
      <c r="B706" s="67" t="s">
        <v>26</v>
      </c>
      <c r="C706" s="68" t="s">
        <v>26</v>
      </c>
      <c r="D706" s="64" t="s">
        <v>40</v>
      </c>
      <c r="E706" s="70" t="s">
        <v>1887</v>
      </c>
      <c r="F706" s="71" t="s">
        <v>418</v>
      </c>
      <c r="G706" s="64" t="str">
        <f>INDEX(Auxiliar!$B$16:$B$24,MATCH(Plano_V3!H706,Auxiliar!$C$16:$C$24,0),1)</f>
        <v>1. Concluído</v>
      </c>
      <c r="H706" s="64">
        <f>VLOOKUP(A706,'Aux - pivots1'!$A:$B,2,0)</f>
        <v>1</v>
      </c>
      <c r="I706" s="178">
        <f>SUMIFS(Table1[Estimação (horas)],Table1[Tabela],Plano_V3!E706,Table1[Campo],Plano_V3!F706)</f>
        <v>0.1</v>
      </c>
      <c r="J706" s="178">
        <f t="shared" si="132"/>
        <v>1.2500000000000001E-2</v>
      </c>
      <c r="K706" s="178">
        <f>SUMIFS(Table1[Horas efetivas],Table1[Tabela],Plano_V3!E706,Table1[Campo],Plano_V3!F706)</f>
        <v>2.5000000000000001E-2</v>
      </c>
      <c r="L706" s="178">
        <f t="shared" si="133"/>
        <v>3.1250000000000002E-3</v>
      </c>
      <c r="M706" s="180"/>
      <c r="N706" s="180">
        <f t="shared" si="134"/>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35"/>
        <v>lt007_instr_activitysstnbl_ctgry</v>
      </c>
      <c r="B707" s="67" t="s">
        <v>26</v>
      </c>
      <c r="C707" s="68" t="s">
        <v>26</v>
      </c>
      <c r="D707" s="64" t="s">
        <v>40</v>
      </c>
      <c r="E707" s="70" t="s">
        <v>1887</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32"/>
        <v>1.2500000000000001E-2</v>
      </c>
      <c r="K707" s="178">
        <f>SUMIFS(Table1[Horas efetivas],Table1[Tabela],Plano_V3!E707,Table1[Campo],Plano_V3!F707)</f>
        <v>2.5000000000000001E-2</v>
      </c>
      <c r="L707" s="178">
        <f t="shared" si="133"/>
        <v>3.1250000000000002E-3</v>
      </c>
      <c r="M707" s="180"/>
      <c r="N707" s="180">
        <f t="shared" si="134"/>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36">E708&amp;F708</f>
        <v>lt007_instr_activityCOD_SOC</v>
      </c>
      <c r="B708" s="67" t="s">
        <v>26</v>
      </c>
      <c r="C708" s="68" t="s">
        <v>26</v>
      </c>
      <c r="D708" s="64" t="s">
        <v>40</v>
      </c>
      <c r="E708" s="70" t="s">
        <v>1887</v>
      </c>
      <c r="F708" s="430" t="s">
        <v>1315</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37">I708/8</f>
        <v>#N/A</v>
      </c>
      <c r="K708" s="178" t="e">
        <f>SUMIFS(Table1[Horas efetivas],Table1[Tabela],Plano_V3!E708,Table1[Campo],Plano_V3!F708)</f>
        <v>#N/A</v>
      </c>
      <c r="L708" s="178" t="e">
        <f t="shared" ref="L708:L714" si="138">K708/8</f>
        <v>#N/A</v>
      </c>
      <c r="M708" s="180"/>
      <c r="N708" s="180" t="e">
        <f t="shared" ref="N708:N714" si="139">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36"/>
        <v>lt007_instr_activityDT_RFRNC</v>
      </c>
      <c r="B709" s="67" t="s">
        <v>26</v>
      </c>
      <c r="C709" s="68" t="s">
        <v>26</v>
      </c>
      <c r="D709" s="64" t="s">
        <v>40</v>
      </c>
      <c r="E709" s="70" t="s">
        <v>1887</v>
      </c>
      <c r="F709" s="430" t="s">
        <v>1320</v>
      </c>
      <c r="G709" s="64" t="str">
        <f>INDEX(Auxiliar!$B$16:$B$24,MATCH(Plano_V3!H709,Auxiliar!$C$16:$C$24,0),1)</f>
        <v>7. Por iniciar</v>
      </c>
      <c r="H709" s="64">
        <f>VLOOKUP(A709,'Aux - pivots1'!$A:$B,2,0)</f>
        <v>8</v>
      </c>
      <c r="I709" s="178" t="e">
        <f>SUMIFS(Table1[Estimação (horas)],Table1[Tabela],Plano_V3!E709,Table1[Campo],Plano_V3!F709)</f>
        <v>#N/A</v>
      </c>
      <c r="J709" s="178" t="e">
        <f t="shared" si="137"/>
        <v>#N/A</v>
      </c>
      <c r="K709" s="178" t="e">
        <f>SUMIFS(Table1[Horas efetivas],Table1[Tabela],Plano_V3!E709,Table1[Campo],Plano_V3!F709)</f>
        <v>#N/A</v>
      </c>
      <c r="L709" s="178" t="e">
        <f t="shared" si="138"/>
        <v>#N/A</v>
      </c>
      <c r="M709" s="180"/>
      <c r="N709" s="180" t="e">
        <f t="shared" si="139"/>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36"/>
        <v>lt007_instr_activityINSTRMNT_ID</v>
      </c>
      <c r="B710" s="67" t="s">
        <v>26</v>
      </c>
      <c r="C710" s="68" t="s">
        <v>26</v>
      </c>
      <c r="D710" s="64" t="s">
        <v>40</v>
      </c>
      <c r="E710" s="70" t="s">
        <v>1887</v>
      </c>
      <c r="F710" s="430" t="s">
        <v>1329</v>
      </c>
      <c r="G710" s="64" t="str">
        <f>INDEX(Auxiliar!$B$16:$B$24,MATCH(Plano_V3!H710,Auxiliar!$C$16:$C$24,0),1)</f>
        <v>7. Por iniciar</v>
      </c>
      <c r="H710" s="64">
        <f>VLOOKUP(A710,'Aux - pivots1'!$A:$B,2,0)</f>
        <v>8</v>
      </c>
      <c r="I710" s="178" t="e">
        <f>SUMIFS(Table1[Estimação (horas)],Table1[Tabela],Plano_V3!E710,Table1[Campo],Plano_V3!F710)</f>
        <v>#N/A</v>
      </c>
      <c r="J710" s="178" t="e">
        <f t="shared" si="137"/>
        <v>#N/A</v>
      </c>
      <c r="K710" s="178" t="e">
        <f>SUMIFS(Table1[Horas efetivas],Table1[Tabela],Plano_V3!E710,Table1[Campo],Plano_V3!F710)</f>
        <v>#N/A</v>
      </c>
      <c r="L710" s="178" t="e">
        <f t="shared" si="138"/>
        <v>#N/A</v>
      </c>
      <c r="M710" s="180"/>
      <c r="N710" s="180" t="e">
        <f t="shared" si="139"/>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36"/>
        <v>lt007_instr_activityPRCNTG_ACTVTY</v>
      </c>
      <c r="B711" s="67" t="s">
        <v>26</v>
      </c>
      <c r="C711" s="68" t="s">
        <v>26</v>
      </c>
      <c r="D711" s="64" t="s">
        <v>40</v>
      </c>
      <c r="E711" s="70" t="s">
        <v>1887</v>
      </c>
      <c r="F711" s="430" t="s">
        <v>2356</v>
      </c>
      <c r="G711" s="64" t="str">
        <f>INDEX(Auxiliar!$B$16:$B$24,MATCH(Plano_V3!H711,Auxiliar!$C$16:$C$24,0),1)</f>
        <v>7. Por iniciar</v>
      </c>
      <c r="H711" s="64">
        <f>VLOOKUP(A711,'Aux - pivots1'!$A:$B,2,0)</f>
        <v>8</v>
      </c>
      <c r="I711" s="178" t="e">
        <f>SUMIFS(Table1[Estimação (horas)],Table1[Tabela],Plano_V3!E711,Table1[Campo],Plano_V3!F711)</f>
        <v>#N/A</v>
      </c>
      <c r="J711" s="178" t="e">
        <f t="shared" si="137"/>
        <v>#N/A</v>
      </c>
      <c r="K711" s="178" t="e">
        <f>SUMIFS(Table1[Horas efetivas],Table1[Tabela],Plano_V3!E711,Table1[Campo],Plano_V3!F711)</f>
        <v>#N/A</v>
      </c>
      <c r="L711" s="178" t="e">
        <f t="shared" si="138"/>
        <v>#N/A</v>
      </c>
      <c r="M711" s="180"/>
      <c r="N711" s="180" t="e">
        <f t="shared" si="139"/>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36"/>
        <v>lt007_instr_activityFLG_SBSTNTL_CNTRBTN</v>
      </c>
      <c r="B712" s="67" t="s">
        <v>26</v>
      </c>
      <c r="C712" s="68" t="s">
        <v>26</v>
      </c>
      <c r="D712" s="64" t="s">
        <v>40</v>
      </c>
      <c r="E712" s="70" t="s">
        <v>1887</v>
      </c>
      <c r="F712" s="430" t="s">
        <v>2357</v>
      </c>
      <c r="G712" s="64" t="str">
        <f>INDEX(Auxiliar!$B$16:$B$24,MATCH(Plano_V3!H712,Auxiliar!$C$16:$C$24,0),1)</f>
        <v>7. Por iniciar</v>
      </c>
      <c r="H712" s="64">
        <f>VLOOKUP(A712,'Aux - pivots1'!$A:$B,2,0)</f>
        <v>8</v>
      </c>
      <c r="I712" s="178" t="e">
        <f>SUMIFS(Table1[Estimação (horas)],Table1[Tabela],Plano_V3!E712,Table1[Campo],Plano_V3!F712)</f>
        <v>#N/A</v>
      </c>
      <c r="J712" s="178" t="e">
        <f t="shared" si="137"/>
        <v>#N/A</v>
      </c>
      <c r="K712" s="178" t="e">
        <f>SUMIFS(Table1[Horas efetivas],Table1[Tabela],Plano_V3!E712,Table1[Campo],Plano_V3!F712)</f>
        <v>#N/A</v>
      </c>
      <c r="L712" s="178" t="e">
        <f t="shared" si="138"/>
        <v>#N/A</v>
      </c>
      <c r="M712" s="180"/>
      <c r="N712" s="180" t="e">
        <f t="shared" si="139"/>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36"/>
        <v>lt007_instr_activityFLG_DNSH_CMPLNC</v>
      </c>
      <c r="B713" s="67" t="s">
        <v>26</v>
      </c>
      <c r="C713" s="68" t="s">
        <v>26</v>
      </c>
      <c r="D713" s="64" t="s">
        <v>40</v>
      </c>
      <c r="E713" s="70" t="s">
        <v>1887</v>
      </c>
      <c r="F713" s="430" t="s">
        <v>2358</v>
      </c>
      <c r="G713" s="64" t="str">
        <f>INDEX(Auxiliar!$B$16:$B$24,MATCH(Plano_V3!H713,Auxiliar!$C$16:$C$24,0),1)</f>
        <v>7. Por iniciar</v>
      </c>
      <c r="H713" s="64">
        <f>VLOOKUP(A713,'Aux - pivots1'!$A:$B,2,0)</f>
        <v>8</v>
      </c>
      <c r="I713" s="178" t="e">
        <f>SUMIFS(Table1[Estimação (horas)],Table1[Tabela],Plano_V3!E713,Table1[Campo],Plano_V3!F713)</f>
        <v>#N/A</v>
      </c>
      <c r="J713" s="178" t="e">
        <f t="shared" si="137"/>
        <v>#N/A</v>
      </c>
      <c r="K713" s="178" t="e">
        <f>SUMIFS(Table1[Horas efetivas],Table1[Tabela],Plano_V3!E713,Table1[Campo],Plano_V3!F713)</f>
        <v>#N/A</v>
      </c>
      <c r="L713" s="178" t="e">
        <f t="shared" si="138"/>
        <v>#N/A</v>
      </c>
      <c r="M713" s="180"/>
      <c r="N713" s="180" t="e">
        <f t="shared" si="139"/>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36"/>
        <v>lt007_instr_activityDNSH_DTL</v>
      </c>
      <c r="B714" s="67" t="s">
        <v>26</v>
      </c>
      <c r="C714" s="68" t="s">
        <v>26</v>
      </c>
      <c r="D714" s="64" t="s">
        <v>40</v>
      </c>
      <c r="E714" s="70" t="s">
        <v>1887</v>
      </c>
      <c r="F714" s="430" t="s">
        <v>2359</v>
      </c>
      <c r="G714" s="64" t="str">
        <f>INDEX(Auxiliar!$B$16:$B$24,MATCH(Plano_V3!H714,Auxiliar!$C$16:$C$24,0),1)</f>
        <v>7. Por iniciar</v>
      </c>
      <c r="H714" s="64">
        <f>VLOOKUP(A714,'Aux - pivots1'!$A:$B,2,0)</f>
        <v>8</v>
      </c>
      <c r="I714" s="178" t="e">
        <f>SUMIFS(Table1[Estimação (horas)],Table1[Tabela],Plano_V3!E714,Table1[Campo],Plano_V3!F714)</f>
        <v>#N/A</v>
      </c>
      <c r="J714" s="178" t="e">
        <f t="shared" si="137"/>
        <v>#N/A</v>
      </c>
      <c r="K714" s="178" t="e">
        <f>SUMIFS(Table1[Horas efetivas],Table1[Tabela],Plano_V3!E714,Table1[Campo],Plano_V3!F714)</f>
        <v>#N/A</v>
      </c>
      <c r="L714" s="178" t="e">
        <f t="shared" si="138"/>
        <v>#N/A</v>
      </c>
      <c r="M714" s="180"/>
      <c r="N714" s="180" t="e">
        <f t="shared" si="139"/>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35"/>
        <v>lt002_instrumentgrss_intrst_incm</v>
      </c>
      <c r="B715" s="67" t="s">
        <v>26</v>
      </c>
      <c r="C715" s="68" t="s">
        <v>26</v>
      </c>
      <c r="D715" s="64" t="s">
        <v>40</v>
      </c>
      <c r="E715" s="70" t="s">
        <v>379</v>
      </c>
      <c r="F715" s="71" t="s">
        <v>420</v>
      </c>
      <c r="G715" s="64" t="str">
        <f>INDEX(Auxiliar!$B$16:$B$24,MATCH(Plano_V3!H715,Auxiliar!$C$16:$C$24,0),1)</f>
        <v>5. Em Correção</v>
      </c>
      <c r="H715" s="64">
        <f>VLOOKUP(A715,'Aux - pivots1'!$A:$B,2,0)</f>
        <v>6</v>
      </c>
      <c r="I715" s="178">
        <f>SUMIFS(Table1[Estimação (horas)],Table1[Tabela],Plano_V3!E715,Table1[Campo],Plano_V3!F715)</f>
        <v>0.1</v>
      </c>
      <c r="J715" s="178">
        <f t="shared" si="132"/>
        <v>1.2500000000000001E-2</v>
      </c>
      <c r="K715" s="178">
        <f>SUMIFS(Table1[Horas efetivas],Table1[Tabela],Plano_V3!E715,Table1[Campo],Plano_V3!F715)</f>
        <v>2.5000000000000001E-2</v>
      </c>
      <c r="L715" s="178">
        <f t="shared" si="133"/>
        <v>3.1250000000000002E-3</v>
      </c>
      <c r="M715" s="180"/>
      <c r="N715" s="180">
        <f t="shared" si="134"/>
        <v>0.25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35"/>
        <v>lt002_instrumentgrss_cmmssn_incm</v>
      </c>
      <c r="B716" s="67" t="s">
        <v>26</v>
      </c>
      <c r="C716" s="68" t="s">
        <v>26</v>
      </c>
      <c r="D716" s="64" t="s">
        <v>40</v>
      </c>
      <c r="E716" s="70" t="s">
        <v>379</v>
      </c>
      <c r="F716" s="71" t="s">
        <v>421</v>
      </c>
      <c r="G716" s="64" t="str">
        <f>INDEX(Auxiliar!$B$16:$B$24,MATCH(Plano_V3!H716,Auxiliar!$C$16:$C$24,0),1)</f>
        <v>5. Em Correção</v>
      </c>
      <c r="H716" s="64">
        <f>VLOOKUP(A716,'Aux - pivots1'!$A:$B,2,0)</f>
        <v>6</v>
      </c>
      <c r="I716" s="178">
        <f>SUMIFS(Table1[Estimação (horas)],Table1[Tabela],Plano_V3!E716,Table1[Campo],Plano_V3!F716)</f>
        <v>0.1</v>
      </c>
      <c r="J716" s="178">
        <f t="shared" si="132"/>
        <v>1.2500000000000001E-2</v>
      </c>
      <c r="K716" s="178">
        <f>SUMIFS(Table1[Horas efetivas],Table1[Tabela],Plano_V3!E716,Table1[Campo],Plano_V3!F716)</f>
        <v>2.5000000000000001E-2</v>
      </c>
      <c r="L716" s="178">
        <f t="shared" si="133"/>
        <v>3.1250000000000002E-3</v>
      </c>
      <c r="M716" s="180"/>
      <c r="N716" s="180">
        <f t="shared" si="134"/>
        <v>0.25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35"/>
        <v>lt002_instrumentgrss_cmmssn_incm_off_blnc</v>
      </c>
      <c r="B717" s="67" t="s">
        <v>26</v>
      </c>
      <c r="C717" s="68" t="s">
        <v>26</v>
      </c>
      <c r="D717" s="64" t="s">
        <v>40</v>
      </c>
      <c r="E717" s="70" t="s">
        <v>379</v>
      </c>
      <c r="F717" s="71" t="s">
        <v>422</v>
      </c>
      <c r="G717" s="64" t="str">
        <f>INDEX(Auxiliar!$B$16:$B$24,MATCH(Plano_V3!H717,Auxiliar!$C$16:$C$24,0),1)</f>
        <v>5. Em Correção</v>
      </c>
      <c r="H717" s="64">
        <f>VLOOKUP(A717,'Aux - pivots1'!$A:$B,2,0)</f>
        <v>6</v>
      </c>
      <c r="I717" s="178">
        <f>SUMIFS(Table1[Estimação (horas)],Table1[Tabela],Plano_V3!E717,Table1[Campo],Plano_V3!F717)</f>
        <v>0.1</v>
      </c>
      <c r="J717" s="178">
        <f t="shared" si="132"/>
        <v>1.2500000000000001E-2</v>
      </c>
      <c r="K717" s="178">
        <f>SUMIFS(Table1[Horas efetivas],Table1[Tabela],Plano_V3!E717,Table1[Campo],Plano_V3!F717)</f>
        <v>2.5000000000000001E-2</v>
      </c>
      <c r="L717" s="178">
        <f t="shared" si="133"/>
        <v>3.1250000000000002E-3</v>
      </c>
      <c r="M717" s="180"/>
      <c r="N717" s="180">
        <f t="shared" si="134"/>
        <v>0.25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35"/>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32"/>
        <v>1.2500000000000001E-2</v>
      </c>
      <c r="K718" s="178">
        <f>SUMIFS(Table1[Horas efetivas],Table1[Tabela],Plano_V3!E718,Table1[Campo],Plano_V3!F718)</f>
        <v>0.1</v>
      </c>
      <c r="L718" s="178">
        <f t="shared" si="133"/>
        <v>1.2500000000000001E-2</v>
      </c>
      <c r="M718" s="180"/>
      <c r="N718" s="180">
        <f t="shared" si="134"/>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35"/>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32"/>
        <v>1.2500000000000001E-2</v>
      </c>
      <c r="K719" s="178">
        <f>SUMIFS(Table1[Horas efetivas],Table1[Tabela],Plano_V3!E719,Table1[Campo],Plano_V3!F719)</f>
        <v>0.1</v>
      </c>
      <c r="L719" s="178">
        <f t="shared" si="133"/>
        <v>1.2500000000000001E-2</v>
      </c>
      <c r="M719" s="180"/>
      <c r="N719" s="180">
        <f t="shared" si="134"/>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35"/>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32"/>
        <v>1.2500000000000001E-2</v>
      </c>
      <c r="K720" s="178">
        <f>SUMIFS(Table1[Horas efetivas],Table1[Tabela],Plano_V3!E720,Table1[Campo],Plano_V3!F720)</f>
        <v>0.1</v>
      </c>
      <c r="L720" s="178">
        <f t="shared" si="133"/>
        <v>1.2500000000000001E-2</v>
      </c>
      <c r="M720" s="180"/>
      <c r="N720" s="180">
        <f t="shared" si="134"/>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35"/>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32"/>
        <v>1.2500000000000001E-2</v>
      </c>
      <c r="K721" s="178">
        <f>SUMIFS(Table1[Horas efetivas],Table1[Tabela],Plano_V3!E721,Table1[Campo],Plano_V3!F721)</f>
        <v>0.1</v>
      </c>
      <c r="L721" s="178">
        <f t="shared" si="133"/>
        <v>1.2500000000000001E-2</v>
      </c>
      <c r="M721" s="180"/>
      <c r="N721" s="180">
        <f t="shared" si="134"/>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35"/>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32"/>
        <v>1.2500000000000001E-2</v>
      </c>
      <c r="K722" s="178">
        <f>SUMIFS(Table1[Horas efetivas],Table1[Tabela],Plano_V3!E722,Table1[Campo],Plano_V3!F722)</f>
        <v>0.1</v>
      </c>
      <c r="L722" s="178">
        <f t="shared" si="133"/>
        <v>1.2500000000000001E-2</v>
      </c>
      <c r="M722" s="180"/>
      <c r="N722" s="180">
        <f t="shared" si="134"/>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35"/>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32"/>
        <v>1.2500000000000001E-2</v>
      </c>
      <c r="K723" s="178">
        <f>SUMIFS(Table1[Horas efetivas],Table1[Tabela],Plano_V3!E723,Table1[Campo],Plano_V3!F723)</f>
        <v>0.1</v>
      </c>
      <c r="L723" s="178">
        <f t="shared" si="133"/>
        <v>1.2500000000000001E-2</v>
      </c>
      <c r="M723" s="180"/>
      <c r="N723" s="180">
        <f t="shared" si="134"/>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35"/>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32"/>
        <v>1.2500000000000001E-2</v>
      </c>
      <c r="K724" s="178">
        <f>SUMIFS(Table1[Horas efetivas],Table1[Tabela],Plano_V3!E724,Table1[Campo],Plano_V3!F724)</f>
        <v>0.1</v>
      </c>
      <c r="L724" s="178">
        <f t="shared" si="133"/>
        <v>1.2500000000000001E-2</v>
      </c>
      <c r="M724" s="180"/>
      <c r="N724" s="180">
        <f t="shared" si="134"/>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35"/>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32"/>
        <v>1.2500000000000001E-2</v>
      </c>
      <c r="K725" s="178">
        <f>SUMIFS(Table1[Horas efetivas],Table1[Tabela],Plano_V3!E725,Table1[Campo],Plano_V3!F725)</f>
        <v>0.1</v>
      </c>
      <c r="L725" s="178">
        <f t="shared" si="133"/>
        <v>1.2500000000000001E-2</v>
      </c>
      <c r="M725" s="180"/>
      <c r="N725" s="180">
        <f t="shared" si="134"/>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35"/>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32"/>
        <v>1.2500000000000001E-2</v>
      </c>
      <c r="K726" s="178">
        <f>SUMIFS(Table1[Horas efetivas],Table1[Tabela],Plano_V3!E726,Table1[Campo],Plano_V3!F726)</f>
        <v>0.1</v>
      </c>
      <c r="L726" s="178">
        <f t="shared" si="133"/>
        <v>1.2500000000000001E-2</v>
      </c>
      <c r="M726" s="180"/>
      <c r="N726" s="180">
        <f t="shared" si="134"/>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35"/>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32"/>
        <v>1.2500000000000001E-2</v>
      </c>
      <c r="K727" s="178">
        <f>SUMIFS(Table1[Horas efetivas],Table1[Tabela],Plano_V3!E727,Table1[Campo],Plano_V3!F727)</f>
        <v>0.1</v>
      </c>
      <c r="L727" s="178">
        <f t="shared" si="133"/>
        <v>1.2500000000000001E-2</v>
      </c>
      <c r="M727" s="180"/>
      <c r="N727" s="180">
        <f t="shared" si="134"/>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35"/>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32"/>
        <v>1.2500000000000001E-2</v>
      </c>
      <c r="K728" s="178">
        <f>SUMIFS(Table1[Horas efetivas],Table1[Tabela],Plano_V3!E728,Table1[Campo],Plano_V3!F728)</f>
        <v>0.1</v>
      </c>
      <c r="L728" s="178">
        <f t="shared" si="133"/>
        <v>1.2500000000000001E-2</v>
      </c>
      <c r="M728" s="180"/>
      <c r="N728" s="180">
        <f t="shared" si="134"/>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35"/>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32"/>
        <v>1.2500000000000001E-2</v>
      </c>
      <c r="K729" s="178">
        <f>SUMIFS(Table1[Horas efetivas],Table1[Tabela],Plano_V3!E729,Table1[Campo],Plano_V3!F729)</f>
        <v>0.1</v>
      </c>
      <c r="L729" s="178">
        <f t="shared" si="133"/>
        <v>1.2500000000000001E-2</v>
      </c>
      <c r="M729" s="180"/>
      <c r="N729" s="180">
        <f t="shared" si="134"/>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35"/>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32"/>
        <v>1.2500000000000001E-2</v>
      </c>
      <c r="K730" s="178">
        <f>SUMIFS(Table1[Horas efetivas],Table1[Tabela],Plano_V3!E730,Table1[Campo],Plano_V3!F730)</f>
        <v>0.1</v>
      </c>
      <c r="L730" s="178">
        <f t="shared" si="133"/>
        <v>1.2500000000000001E-2</v>
      </c>
      <c r="M730" s="180"/>
      <c r="N730" s="180">
        <f t="shared" si="134"/>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35"/>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32"/>
        <v>1.2500000000000001E-2</v>
      </c>
      <c r="K731" s="178">
        <f>SUMIFS(Table1[Horas efetivas],Table1[Tabela],Plano_V3!E731,Table1[Campo],Plano_V3!F731)</f>
        <v>0.1</v>
      </c>
      <c r="L731" s="178">
        <f t="shared" si="133"/>
        <v>1.2500000000000001E-2</v>
      </c>
      <c r="M731" s="180"/>
      <c r="N731" s="180">
        <f t="shared" si="134"/>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35"/>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32"/>
        <v>1.2500000000000001E-2</v>
      </c>
      <c r="K732" s="178">
        <f>SUMIFS(Table1[Horas efetivas],Table1[Tabela],Plano_V3!E732,Table1[Campo],Plano_V3!F732)</f>
        <v>0.1</v>
      </c>
      <c r="L732" s="178">
        <f t="shared" si="133"/>
        <v>1.2500000000000001E-2</v>
      </c>
      <c r="M732" s="180"/>
      <c r="N732" s="180">
        <f t="shared" si="134"/>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35"/>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32"/>
        <v>1.2500000000000001E-2</v>
      </c>
      <c r="K733" s="178">
        <f>SUMIFS(Table1[Horas efetivas],Table1[Tabela],Plano_V3!E733,Table1[Campo],Plano_V3!F733)</f>
        <v>0.1</v>
      </c>
      <c r="L733" s="178">
        <f t="shared" si="133"/>
        <v>1.2500000000000001E-2</v>
      </c>
      <c r="M733" s="180"/>
      <c r="N733" s="180">
        <f t="shared" si="134"/>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35"/>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32"/>
        <v>1.2500000000000001E-2</v>
      </c>
      <c r="K734" s="178">
        <f>SUMIFS(Table1[Horas efetivas],Table1[Tabela],Plano_V3!E734,Table1[Campo],Plano_V3!F734)</f>
        <v>0.1</v>
      </c>
      <c r="L734" s="178">
        <f t="shared" si="133"/>
        <v>1.2500000000000001E-2</v>
      </c>
      <c r="M734" s="180"/>
      <c r="N734" s="180">
        <f t="shared" si="134"/>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35"/>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32"/>
        <v>1.2500000000000001E-2</v>
      </c>
      <c r="K735" s="178">
        <f>SUMIFS(Table1[Horas efetivas],Table1[Tabela],Plano_V3!E735,Table1[Campo],Plano_V3!F735)</f>
        <v>0.1</v>
      </c>
      <c r="L735" s="178">
        <f t="shared" si="133"/>
        <v>1.2500000000000001E-2</v>
      </c>
      <c r="M735" s="180"/>
      <c r="N735" s="180">
        <f t="shared" si="134"/>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35"/>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32"/>
        <v>1.2500000000000001E-2</v>
      </c>
      <c r="K736" s="178">
        <f>SUMIFS(Table1[Horas efetivas],Table1[Tabela],Plano_V3!E736,Table1[Campo],Plano_V3!F736)</f>
        <v>0.1</v>
      </c>
      <c r="L736" s="178">
        <f t="shared" si="133"/>
        <v>1.2500000000000001E-2</v>
      </c>
      <c r="M736" s="180"/>
      <c r="N736" s="180">
        <f t="shared" si="134"/>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35"/>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32"/>
        <v>1.2500000000000001E-2</v>
      </c>
      <c r="K737" s="178">
        <f>SUMIFS(Table1[Horas efetivas],Table1[Tabela],Plano_V3!E737,Table1[Campo],Plano_V3!F737)</f>
        <v>0.1</v>
      </c>
      <c r="L737" s="178">
        <f t="shared" si="133"/>
        <v>1.2500000000000001E-2</v>
      </c>
      <c r="M737" s="180"/>
      <c r="N737" s="180">
        <f t="shared" si="134"/>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35"/>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32"/>
        <v>1.2500000000000001E-2</v>
      </c>
      <c r="K738" s="178">
        <f>SUMIFS(Table1[Horas efetivas],Table1[Tabela],Plano_V3!E738,Table1[Campo],Plano_V3!F738)</f>
        <v>0.1</v>
      </c>
      <c r="L738" s="178">
        <f t="shared" si="133"/>
        <v>1.2500000000000001E-2</v>
      </c>
      <c r="M738" s="180"/>
      <c r="N738" s="180">
        <f t="shared" si="134"/>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35"/>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32"/>
        <v>1.2500000000000001E-2</v>
      </c>
      <c r="K739" s="178">
        <f>SUMIFS(Table1[Horas efetivas],Table1[Tabela],Plano_V3!E739,Table1[Campo],Plano_V3!F739)</f>
        <v>0.1</v>
      </c>
      <c r="L739" s="178">
        <f t="shared" si="133"/>
        <v>1.2500000000000001E-2</v>
      </c>
      <c r="M739" s="180"/>
      <c r="N739" s="180">
        <f t="shared" si="134"/>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35"/>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32"/>
        <v>1.2500000000000001E-2</v>
      </c>
      <c r="K740" s="178">
        <f>SUMIFS(Table1[Horas efetivas],Table1[Tabela],Plano_V3!E740,Table1[Campo],Plano_V3!F740)</f>
        <v>0.1</v>
      </c>
      <c r="L740" s="178">
        <f t="shared" si="133"/>
        <v>1.2500000000000001E-2</v>
      </c>
      <c r="M740" s="180"/>
      <c r="N740" s="180">
        <f t="shared" si="134"/>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35"/>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32"/>
        <v>1.2500000000000001E-2</v>
      </c>
      <c r="K741" s="178">
        <f>SUMIFS(Table1[Horas efetivas],Table1[Tabela],Plano_V3!E741,Table1[Campo],Plano_V3!F741)</f>
        <v>0.1</v>
      </c>
      <c r="L741" s="178">
        <f t="shared" si="133"/>
        <v>1.2500000000000001E-2</v>
      </c>
      <c r="M741" s="180"/>
      <c r="N741" s="180">
        <f t="shared" si="134"/>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35"/>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32"/>
        <v>1.2500000000000001E-2</v>
      </c>
      <c r="K742" s="178">
        <f>SUMIFS(Table1[Horas efetivas],Table1[Tabela],Plano_V3!E742,Table1[Campo],Plano_V3!F742)</f>
        <v>0.1</v>
      </c>
      <c r="L742" s="178">
        <f t="shared" si="133"/>
        <v>1.2500000000000001E-2</v>
      </c>
      <c r="M742" s="180"/>
      <c r="N742" s="180">
        <f t="shared" si="134"/>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35"/>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32"/>
        <v>1.2500000000000001E-2</v>
      </c>
      <c r="K743" s="178">
        <f>SUMIFS(Table1[Horas efetivas],Table1[Tabela],Plano_V3!E743,Table1[Campo],Plano_V3!F743)</f>
        <v>0.1</v>
      </c>
      <c r="L743" s="178">
        <f t="shared" si="133"/>
        <v>1.2500000000000001E-2</v>
      </c>
      <c r="M743" s="180"/>
      <c r="N743" s="180">
        <f t="shared" si="134"/>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35"/>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32"/>
        <v>1.2500000000000001E-2</v>
      </c>
      <c r="K744" s="178">
        <f>SUMIFS(Table1[Horas efetivas],Table1[Tabela],Plano_V3!E744,Table1[Campo],Plano_V3!F744)</f>
        <v>0.1</v>
      </c>
      <c r="L744" s="178">
        <f t="shared" si="133"/>
        <v>1.2500000000000001E-2</v>
      </c>
      <c r="M744" s="180"/>
      <c r="N744" s="180">
        <f t="shared" si="134"/>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35"/>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32"/>
        <v>1.2500000000000001E-2</v>
      </c>
      <c r="K745" s="178">
        <f>SUMIFS(Table1[Horas efetivas],Table1[Tabela],Plano_V3!E745,Table1[Campo],Plano_V3!F745)</f>
        <v>0.1</v>
      </c>
      <c r="L745" s="178">
        <f t="shared" si="133"/>
        <v>1.2500000000000001E-2</v>
      </c>
      <c r="M745" s="180"/>
      <c r="N745" s="180">
        <f t="shared" si="134"/>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35"/>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32"/>
        <v>1.2500000000000001E-2</v>
      </c>
      <c r="K746" s="178">
        <f>SUMIFS(Table1[Horas efetivas],Table1[Tabela],Plano_V3!E746,Table1[Campo],Plano_V3!F746)</f>
        <v>0</v>
      </c>
      <c r="L746" s="178">
        <f t="shared" si="133"/>
        <v>0</v>
      </c>
      <c r="M746" s="180"/>
      <c r="N746" s="180">
        <f t="shared" si="134"/>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35"/>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32"/>
        <v>1.2500000000000001E-2</v>
      </c>
      <c r="K747" s="178">
        <f>SUMIFS(Table1[Horas efetivas],Table1[Tabela],Plano_V3!E747,Table1[Campo],Plano_V3!F747)</f>
        <v>0.1</v>
      </c>
      <c r="L747" s="178">
        <f t="shared" si="133"/>
        <v>1.2500000000000001E-2</v>
      </c>
      <c r="M747" s="180"/>
      <c r="N747" s="180">
        <f t="shared" si="134"/>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35"/>
        <v>lt006_instr_protTYP_RLTN</v>
      </c>
      <c r="B748" s="67" t="s">
        <v>26</v>
      </c>
      <c r="C748" s="68" t="s">
        <v>26</v>
      </c>
      <c r="D748" s="64" t="s">
        <v>40</v>
      </c>
      <c r="E748" s="70" t="s">
        <v>441</v>
      </c>
      <c r="F748" s="430" t="s">
        <v>2354</v>
      </c>
      <c r="G748" s="64" t="str">
        <f>INDEX(Auxiliar!$B$16:$B$24,MATCH(Plano_V3!H748,Auxiliar!$C$16:$C$24,0),1)</f>
        <v>7. Por iniciar</v>
      </c>
      <c r="H748" s="64">
        <f>VLOOKUP(A748,'Aux - pivots1'!$A:$B,2,0)</f>
        <v>8</v>
      </c>
      <c r="I748" s="178">
        <f>SUMIFS(Table1[Estimação (horas)],Table1[Tabela],Plano_V3!E748,Table1[Campo],Plano_V3!F748)</f>
        <v>0.1</v>
      </c>
      <c r="J748" s="178">
        <f t="shared" ref="J748" si="140">I748/8</f>
        <v>1.2500000000000001E-2</v>
      </c>
      <c r="K748" s="178">
        <f>SUMIFS(Table1[Horas efetivas],Table1[Tabela],Plano_V3!E748,Table1[Campo],Plano_V3!F748)</f>
        <v>0</v>
      </c>
      <c r="L748" s="178">
        <f t="shared" ref="L748" si="141">K748/8</f>
        <v>0</v>
      </c>
      <c r="M748" s="180"/>
      <c r="N748" s="180">
        <f t="shared" ref="N748" si="142">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35"/>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32"/>
        <v>0.51249999999999996</v>
      </c>
      <c r="K749" s="178">
        <f>SUMIFS(Table1[Horas efetivas],Table1[Tabela],Plano_V3!E749,Table1[Campo],Plano_V3!F749)</f>
        <v>0</v>
      </c>
      <c r="L749" s="178">
        <f t="shared" si="133"/>
        <v>0</v>
      </c>
      <c r="M749" s="180"/>
      <c r="N749" s="180">
        <f t="shared" si="134"/>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35"/>
        <v>lt004_protectionflg_exec</v>
      </c>
      <c r="B750" s="67"/>
      <c r="C750" s="68"/>
      <c r="D750" s="64" t="s">
        <v>40</v>
      </c>
      <c r="E750" s="70" t="s">
        <v>368</v>
      </c>
      <c r="F750" s="71" t="s">
        <v>1296</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32"/>
        <v>0.51249999999999996</v>
      </c>
      <c r="K750" s="178">
        <f>SUMIFS(Table1[Horas efetivas],Table1[Tabela],Plano_V3!E750,Table1[Campo],Plano_V3!F750)</f>
        <v>0</v>
      </c>
      <c r="L750" s="178">
        <f t="shared" si="133"/>
        <v>0</v>
      </c>
      <c r="M750" s="180"/>
      <c r="N750" s="180">
        <f t="shared" si="134"/>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35"/>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34"/>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35"/>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34"/>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35"/>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34"/>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199999999999999"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80" priority="68" operator="lessThan">
      <formula>0</formula>
    </cfRule>
    <cfRule type="cellIs" dxfId="79" priority="69" operator="greaterThanOrEqual">
      <formula>0</formula>
    </cfRule>
  </conditionalFormatting>
  <conditionalFormatting sqref="O24:O234 O493:O537 O236:O473 O749:O753 O539:O747">
    <cfRule type="cellIs" dxfId="78" priority="46" operator="lessThan">
      <formula>0</formula>
    </cfRule>
    <cfRule type="cellIs" dxfId="77" priority="47" operator="greaterThanOrEqual">
      <formula>0</formula>
    </cfRule>
  </conditionalFormatting>
  <conditionalFormatting sqref="Q15:Q17">
    <cfRule type="cellIs" dxfId="76" priority="95" operator="notEqual">
      <formula>0</formula>
    </cfRule>
  </conditionalFormatting>
  <conditionalFormatting sqref="Q20:Q22">
    <cfRule type="cellIs" dxfId="75" priority="87" operator="notEqual">
      <formula>0</formula>
    </cfRule>
  </conditionalFormatting>
  <conditionalFormatting sqref="Q25:Q473 Q539:Q546 Q493:Q537">
    <cfRule type="cellIs" dxfId="74" priority="50" operator="notEqual">
      <formula>0</formula>
    </cfRule>
  </conditionalFormatting>
  <conditionalFormatting sqref="R5:R6 S6:ES6">
    <cfRule type="cellIs" dxfId="73" priority="96" operator="notEqual">
      <formula>0</formula>
    </cfRule>
  </conditionalFormatting>
  <conditionalFormatting sqref="R15:ES17 R20:ES22 R25:ES25">
    <cfRule type="cellIs" dxfId="72" priority="94" operator="greaterThan">
      <formula>0</formula>
    </cfRule>
  </conditionalFormatting>
  <conditionalFormatting sqref="R72:ES72">
    <cfRule type="cellIs" dxfId="71" priority="92" operator="greaterThan">
      <formula>0</formula>
    </cfRule>
  </conditionalFormatting>
  <conditionalFormatting sqref="R237:ES237">
    <cfRule type="cellIs" dxfId="70" priority="91" operator="greaterThan">
      <formula>0</formula>
    </cfRule>
  </conditionalFormatting>
  <conditionalFormatting sqref="R440:ES440">
    <cfRule type="cellIs" dxfId="69" priority="90" operator="greaterThan">
      <formula>0</formula>
    </cfRule>
  </conditionalFormatting>
  <conditionalFormatting sqref="R546:ES546">
    <cfRule type="cellIs" dxfId="68" priority="89" operator="greaterThan">
      <formula>0</formula>
    </cfRule>
  </conditionalFormatting>
  <conditionalFormatting sqref="O235">
    <cfRule type="cellIs" dxfId="67" priority="44" operator="lessThan">
      <formula>0</formula>
    </cfRule>
    <cfRule type="cellIs" dxfId="66" priority="45" operator="greaterThanOrEqual">
      <formula>0</formula>
    </cfRule>
  </conditionalFormatting>
  <conditionalFormatting sqref="O538">
    <cfRule type="cellIs" dxfId="65" priority="20" operator="lessThan">
      <formula>0</formula>
    </cfRule>
    <cfRule type="cellIs" dxfId="64" priority="21" operator="greaterThanOrEqual">
      <formula>0</formula>
    </cfRule>
  </conditionalFormatting>
  <conditionalFormatting sqref="Q538">
    <cfRule type="cellIs" dxfId="63" priority="22" operator="notEqual">
      <formula>0</formula>
    </cfRule>
  </conditionalFormatting>
  <conditionalFormatting sqref="O474:O492">
    <cfRule type="cellIs" dxfId="62" priority="10" operator="lessThan">
      <formula>0</formula>
    </cfRule>
    <cfRule type="cellIs" dxfId="61" priority="11" operator="greaterThanOrEqual">
      <formula>0</formula>
    </cfRule>
  </conditionalFormatting>
  <conditionalFormatting sqref="Q474:Q492">
    <cfRule type="cellIs" dxfId="60" priority="12" operator="notEqual">
      <formula>0</formula>
    </cfRule>
  </conditionalFormatting>
  <conditionalFormatting sqref="O748">
    <cfRule type="cellIs" dxfId="17" priority="1" operator="lessThan">
      <formula>0</formula>
    </cfRule>
    <cfRule type="cellIs" dxfId="16"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95"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1892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1893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1894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1895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1896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1897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1898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1899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1900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1900</v>
      </c>
      <c r="C19" s="226" t="s">
        <v>1898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1900</v>
      </c>
      <c r="C20" s="226" t="s">
        <v>1899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1900</v>
      </c>
      <c r="C21" s="226" t="s">
        <v>1901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1900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1902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1898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1899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1901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1903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1898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1904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1905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1898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1906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1931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1897</v>
      </c>
      <c r="C37" s="136" t="s">
        <v>1907</v>
      </c>
      <c r="D37" s="222" t="s">
        <v>1908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8" priority="2" operator="greaterThan">
      <formula>0</formula>
    </cfRule>
  </conditionalFormatting>
  <conditionalFormatting sqref="G7:BB7">
    <cfRule type="cellIs" dxfId="7"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9352D1-D524-4C20-9F55-513ADB4972CA}"/>
</file>

<file path=customXml/itemProps2.xml><?xml version="1.0" encoding="utf-8"?>
<ds:datastoreItem xmlns:ds="http://schemas.openxmlformats.org/officeDocument/2006/customXml" ds:itemID="{18AAA335-33FC-43F6-B758-4189E316609B}">
  <ds:schemaRefs>
    <ds:schemaRef ds:uri="http://purl.org/dc/terms/"/>
    <ds:schemaRef ds:uri="http://schemas.openxmlformats.org/package/2006/metadata/core-properties"/>
    <ds:schemaRef ds:uri="http://schemas.microsoft.com/office/2006/metadata/properties"/>
    <ds:schemaRef ds:uri="0683c779-04fc-4b63-89c9-6c25ffa1c0a4"/>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6ea7b29d-57ec-408d-9ea9-cf73b04f66d5"/>
    <ds:schemaRef ds:uri="http://schemas.microsoft.com/sharepoint/v3"/>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2. Status Detalhe Campos FY24</vt:lpstr>
      <vt:lpstr>Aux - pivots1</vt:lpstr>
      <vt:lpstr>Aux - Pivots2</vt:lpstr>
      <vt:lpstr>Caderno Testes FY24</vt:lpstr>
      <vt:lpstr>2. Controlos Corporativos - GD</vt:lpstr>
      <vt:lpstr>Auxiliar</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2025-01-31T13:26:06Z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