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Campos'!$A$6:$J$568</definedName>
    <definedName name="_xlnm._FilterDatabase" localSheetId="6" hidden="1">'Caderno Testes'!$B$792:$M$1010</definedName>
    <definedName name="_xlnm._FilterDatabase" localSheetId="0" hidden="1">Plano_V1!$B$13:$K$636</definedName>
    <definedName name="_xlnm._FilterDatabase" localSheetId="3" hidden="1">Plano_V3!$B$13:$P$586</definedName>
    <definedName name="_xlcn.WorksheetConnection_2.StatusDetalheCamposB6G6051" hidden="1">'2. Status Detalhe Campos'!$B$6:$G$568</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08" r:id="rId10"/>
    <pivotCache cacheId="111" r:id="rId11"/>
    <pivotCache cacheId="114" r:id="rId12"/>
    <pivotCache cacheId="117" r:id="rId13"/>
    <pivotCache cacheId="120" r:id="rId14"/>
    <pivotCache cacheId="123" r:id="rId15"/>
    <pivotCache cacheId="126"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558" i="17" l="1"/>
  <c r="K558" i="17" s="1"/>
  <c r="A557" i="17"/>
  <c r="J557" i="17" s="1"/>
  <c r="A556" i="17"/>
  <c r="A555" i="17"/>
  <c r="K555" i="17" s="1"/>
  <c r="A585" i="20"/>
  <c r="A584" i="20"/>
  <c r="A583" i="20"/>
  <c r="A582" i="20"/>
  <c r="K556" i="17" l="1"/>
  <c r="J558" i="17"/>
  <c r="J556" i="17"/>
  <c r="L556" i="17"/>
  <c r="J555" i="17"/>
  <c r="L558" i="17"/>
  <c r="K557" i="17"/>
  <c r="L557" i="17"/>
  <c r="L555" i="17"/>
  <c r="H585" i="20"/>
  <c r="H584" i="20"/>
  <c r="H583" i="20"/>
  <c r="H582" i="20"/>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02" i="1" l="1"/>
  <c r="W1302" i="1" s="1"/>
  <c r="O1301" i="1"/>
  <c r="W1301" i="1" s="1"/>
  <c r="O1300" i="1"/>
  <c r="W1300" i="1" s="1"/>
  <c r="O1299" i="1"/>
  <c r="W1299" i="1" s="1"/>
  <c r="O1298" i="1"/>
  <c r="W1298" i="1" s="1"/>
  <c r="O1297" i="1"/>
  <c r="W1297" i="1" s="1"/>
  <c r="O1296" i="1"/>
  <c r="W1296" i="1" s="1"/>
  <c r="O1295" i="1"/>
  <c r="W1295" i="1" s="1"/>
  <c r="O1294" i="1"/>
  <c r="W1294" i="1" s="1"/>
  <c r="O1293" i="1"/>
  <c r="W1293" i="1" s="1"/>
  <c r="W1292" i="1"/>
  <c r="K581" i="20" s="1"/>
  <c r="L581" i="20" s="1"/>
  <c r="W1291" i="1"/>
  <c r="K580" i="20" s="1"/>
  <c r="L580" i="20" s="1"/>
  <c r="W1290" i="1"/>
  <c r="K579" i="20" s="1"/>
  <c r="L579" i="20" s="1"/>
  <c r="W1289" i="1"/>
  <c r="K578" i="20" s="1"/>
  <c r="L578" i="20" s="1"/>
  <c r="W1288" i="1"/>
  <c r="K577" i="20" s="1"/>
  <c r="L577" i="20" s="1"/>
  <c r="W1287" i="1"/>
  <c r="K576" i="20" s="1"/>
  <c r="L576" i="20" s="1"/>
  <c r="W1286" i="1"/>
  <c r="K575" i="20" s="1"/>
  <c r="L575" i="20" s="1"/>
  <c r="W1285" i="1"/>
  <c r="K574" i="20" s="1"/>
  <c r="L574" i="20" s="1"/>
  <c r="W1284" i="1"/>
  <c r="K573" i="20" s="1"/>
  <c r="L573" i="20" s="1"/>
  <c r="W1283" i="1"/>
  <c r="K572" i="20" s="1"/>
  <c r="L572" i="20" s="1"/>
  <c r="W1282" i="1"/>
  <c r="K571" i="20" s="1"/>
  <c r="L571" i="20" s="1"/>
  <c r="W1281" i="1"/>
  <c r="K570" i="20" s="1"/>
  <c r="L570" i="20" s="1"/>
  <c r="W1280" i="1"/>
  <c r="K569" i="20" s="1"/>
  <c r="L569" i="20" s="1"/>
  <c r="W1279" i="1"/>
  <c r="K568" i="20" s="1"/>
  <c r="L568" i="20" s="1"/>
  <c r="W1278" i="1"/>
  <c r="K567" i="20" s="1"/>
  <c r="L567" i="20" s="1"/>
  <c r="W1277" i="1"/>
  <c r="K566" i="20" s="1"/>
  <c r="L566" i="20" s="1"/>
  <c r="W1276" i="1"/>
  <c r="K565" i="20" s="1"/>
  <c r="L565" i="20" s="1"/>
  <c r="W1275" i="1"/>
  <c r="K564" i="20" s="1"/>
  <c r="L564" i="20" s="1"/>
  <c r="W1274" i="1"/>
  <c r="K563" i="20" s="1"/>
  <c r="L563" i="20" s="1"/>
  <c r="W1273" i="1"/>
  <c r="K562" i="20" s="1"/>
  <c r="L562" i="20" s="1"/>
  <c r="W1272" i="1"/>
  <c r="K561" i="20" s="1"/>
  <c r="L561" i="20" s="1"/>
  <c r="W1271" i="1"/>
  <c r="K560" i="20" s="1"/>
  <c r="L560" i="20" s="1"/>
  <c r="W1270" i="1"/>
  <c r="K559" i="20" s="1"/>
  <c r="L559" i="20" s="1"/>
  <c r="W1269" i="1"/>
  <c r="K558" i="20" s="1"/>
  <c r="L558" i="20" s="1"/>
  <c r="W1268" i="1"/>
  <c r="K557" i="20" s="1"/>
  <c r="L557" i="20" s="1"/>
  <c r="W1267" i="1"/>
  <c r="K556" i="20" s="1"/>
  <c r="L556" i="20" s="1"/>
  <c r="W1266" i="1"/>
  <c r="K555" i="20" s="1"/>
  <c r="L555" i="20" s="1"/>
  <c r="W1265" i="1"/>
  <c r="K554" i="20" s="1"/>
  <c r="L554" i="20" s="1"/>
  <c r="W1264" i="1"/>
  <c r="K553" i="20" s="1"/>
  <c r="L553" i="20" s="1"/>
  <c r="W1263" i="1"/>
  <c r="K552" i="20" s="1"/>
  <c r="L552" i="20" s="1"/>
  <c r="W1262" i="1"/>
  <c r="K551" i="20" s="1"/>
  <c r="L551" i="20" s="1"/>
  <c r="W1261" i="1"/>
  <c r="K550" i="20" s="1"/>
  <c r="L550" i="20" s="1"/>
  <c r="W1260" i="1"/>
  <c r="K549" i="20" s="1"/>
  <c r="L549" i="20" s="1"/>
  <c r="W1259" i="1"/>
  <c r="K548" i="20" s="1"/>
  <c r="L548" i="20" s="1"/>
  <c r="W1258" i="1"/>
  <c r="K547" i="20" s="1"/>
  <c r="L547" i="20" s="1"/>
  <c r="W1257" i="1"/>
  <c r="K546" i="20" s="1"/>
  <c r="L546" i="20" s="1"/>
  <c r="W1256" i="1"/>
  <c r="K545" i="20" s="1"/>
  <c r="L545" i="20" s="1"/>
  <c r="W1255" i="1"/>
  <c r="K544" i="20" s="1"/>
  <c r="L544" i="20" s="1"/>
  <c r="W1254" i="1"/>
  <c r="K543" i="20" s="1"/>
  <c r="L543" i="20" s="1"/>
  <c r="W1253" i="1"/>
  <c r="K542" i="20" s="1"/>
  <c r="L542" i="20" s="1"/>
  <c r="W1252" i="1"/>
  <c r="K541" i="20" s="1"/>
  <c r="L541" i="20" s="1"/>
  <c r="W1251" i="1"/>
  <c r="K540" i="20" s="1"/>
  <c r="L540" i="20" s="1"/>
  <c r="W1250" i="1"/>
  <c r="K539" i="20" s="1"/>
  <c r="L539" i="20" s="1"/>
  <c r="W1249" i="1"/>
  <c r="K538" i="20" s="1"/>
  <c r="L538" i="20" s="1"/>
  <c r="W1248" i="1"/>
  <c r="K537" i="20" s="1"/>
  <c r="L537" i="20" s="1"/>
  <c r="W1247" i="1"/>
  <c r="K536" i="20" s="1"/>
  <c r="L536" i="20" s="1"/>
  <c r="W1246" i="1"/>
  <c r="K535" i="20" s="1"/>
  <c r="L535" i="20" s="1"/>
  <c r="W1245" i="1"/>
  <c r="K534" i="20" s="1"/>
  <c r="L534" i="20" s="1"/>
  <c r="W1244" i="1"/>
  <c r="K533" i="20" s="1"/>
  <c r="L533" i="20" s="1"/>
  <c r="W1243" i="1"/>
  <c r="K532" i="20" s="1"/>
  <c r="L532" i="20" s="1"/>
  <c r="W1242" i="1"/>
  <c r="K531" i="20" s="1"/>
  <c r="L531" i="20" s="1"/>
  <c r="W1241" i="1"/>
  <c r="K530" i="20" s="1"/>
  <c r="L530" i="20" s="1"/>
  <c r="W1240" i="1"/>
  <c r="K529" i="20" s="1"/>
  <c r="L529" i="20" s="1"/>
  <c r="W1239" i="1"/>
  <c r="K528" i="20" s="1"/>
  <c r="L528" i="20" s="1"/>
  <c r="H1293" i="1"/>
  <c r="H1294" i="1"/>
  <c r="H1295" i="1"/>
  <c r="H1296" i="1"/>
  <c r="H1297" i="1"/>
  <c r="H1298" i="1"/>
  <c r="H1299" i="1"/>
  <c r="H1300" i="1"/>
  <c r="H1301" i="1"/>
  <c r="H1302" i="1"/>
  <c r="A568" i="17"/>
  <c r="A567" i="17"/>
  <c r="A566" i="17"/>
  <c r="A565" i="17"/>
  <c r="A564" i="17"/>
  <c r="A563" i="17"/>
  <c r="A562" i="17"/>
  <c r="A561" i="17"/>
  <c r="A560" i="17"/>
  <c r="A559"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59" i="17"/>
  <c r="K559" i="17"/>
  <c r="L559" i="17"/>
  <c r="J563" i="17"/>
  <c r="L563" i="17"/>
  <c r="K563"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64" i="17"/>
  <c r="L564" i="17"/>
  <c r="J564"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67" i="17"/>
  <c r="L567" i="17"/>
  <c r="K567"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60" i="17"/>
  <c r="L560" i="17"/>
  <c r="J560" i="17"/>
  <c r="L568" i="17"/>
  <c r="K568" i="17"/>
  <c r="J568"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61" i="17"/>
  <c r="J561" i="17"/>
  <c r="K561" i="17"/>
  <c r="L565" i="17"/>
  <c r="J565" i="17"/>
  <c r="K565"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62" i="17"/>
  <c r="K562" i="17"/>
  <c r="J562" i="17"/>
  <c r="K566" i="17"/>
  <c r="J566" i="17"/>
  <c r="L566"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6"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83" i="1"/>
  <c r="H1284" i="1"/>
  <c r="H1285" i="1"/>
  <c r="H1286" i="1"/>
  <c r="H1287" i="1"/>
  <c r="H1288" i="1"/>
  <c r="H1289" i="1"/>
  <c r="H1290" i="1"/>
  <c r="H1291" i="1"/>
  <c r="H1292" i="1"/>
  <c r="H1275" i="1"/>
  <c r="H1276" i="1"/>
  <c r="H1277" i="1"/>
  <c r="H1278" i="1"/>
  <c r="H1279" i="1"/>
  <c r="H1280" i="1"/>
  <c r="H1281" i="1"/>
  <c r="H1282" i="1"/>
  <c r="H1258" i="1"/>
  <c r="H1259" i="1"/>
  <c r="H1260" i="1"/>
  <c r="H1261" i="1"/>
  <c r="H1262" i="1"/>
  <c r="H1263" i="1"/>
  <c r="H1264" i="1"/>
  <c r="H1265" i="1"/>
  <c r="H1266" i="1"/>
  <c r="H1267" i="1"/>
  <c r="H1268" i="1"/>
  <c r="H1269" i="1"/>
  <c r="H1270" i="1"/>
  <c r="H1271" i="1"/>
  <c r="H1272" i="1"/>
  <c r="H1273" i="1"/>
  <c r="H1274" i="1"/>
  <c r="H1239" i="1"/>
  <c r="H1240" i="1"/>
  <c r="H1241" i="1"/>
  <c r="H1242" i="1"/>
  <c r="H1243" i="1"/>
  <c r="H1244" i="1"/>
  <c r="H1245" i="1"/>
  <c r="H1246" i="1"/>
  <c r="H1247" i="1"/>
  <c r="H1248" i="1"/>
  <c r="H1249" i="1"/>
  <c r="H1250" i="1"/>
  <c r="H1251" i="1"/>
  <c r="H1252" i="1"/>
  <c r="H1253" i="1"/>
  <c r="H1254" i="1"/>
  <c r="H1255" i="1"/>
  <c r="H1256" i="1"/>
  <c r="H1257"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C24" i="3"/>
  <c r="J263" i="1"/>
  <c r="C19" i="3"/>
  <c r="C16" i="3"/>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4" i="20"/>
  <c r="G557" i="17" s="1"/>
  <c r="G582" i="20"/>
  <c r="G555" i="17" s="1"/>
  <c r="G583" i="20"/>
  <c r="G556" i="17" s="1"/>
  <c r="G585" i="20"/>
  <c r="G558" i="17" s="1"/>
  <c r="W1149" i="1"/>
  <c r="K584" i="20" s="1"/>
  <c r="L584" i="20" s="1"/>
  <c r="I584" i="20"/>
  <c r="J584" i="20" s="1"/>
  <c r="W1146" i="1"/>
  <c r="K583" i="20" s="1"/>
  <c r="L583" i="20" s="1"/>
  <c r="I583" i="20"/>
  <c r="J583" i="20" s="1"/>
  <c r="W1143" i="1"/>
  <c r="K582" i="20" s="1"/>
  <c r="L582" i="20" s="1"/>
  <c r="I582" i="20"/>
  <c r="J582" i="20" s="1"/>
  <c r="W1152" i="1"/>
  <c r="K585" i="20" s="1"/>
  <c r="L585" i="20" s="1"/>
  <c r="I585" i="20"/>
  <c r="J585"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20" i="1"/>
  <c r="J1101" i="1"/>
  <c r="J963" i="1"/>
  <c r="J737" i="1"/>
  <c r="J1215" i="1"/>
  <c r="J1100" i="1"/>
  <c r="J958" i="1"/>
  <c r="J856" i="1"/>
  <c r="J721"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296" i="1"/>
  <c r="J1297" i="1"/>
  <c r="J1298" i="1"/>
  <c r="J1299" i="1"/>
  <c r="J1300" i="1"/>
  <c r="J1293" i="1"/>
  <c r="J1301" i="1"/>
  <c r="J1294" i="1"/>
  <c r="J1302" i="1"/>
  <c r="J1295"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35" i="20"/>
  <c r="G508" i="17" s="1"/>
  <c r="G567" i="20"/>
  <c r="G540" i="17" s="1"/>
  <c r="G596" i="19"/>
  <c r="G85" i="20"/>
  <c r="G64" i="17" s="1"/>
  <c r="G153" i="20"/>
  <c r="G132" i="17" s="1"/>
  <c r="G224" i="20"/>
  <c r="G201" i="17" s="1"/>
  <c r="G291" i="20"/>
  <c r="G268" i="17" s="1"/>
  <c r="G355" i="20"/>
  <c r="G332" i="17" s="1"/>
  <c r="G425" i="20"/>
  <c r="G400" i="17" s="1"/>
  <c r="G496" i="20"/>
  <c r="G469" i="17" s="1"/>
  <c r="G544" i="20"/>
  <c r="G517" i="17" s="1"/>
  <c r="G576" i="20"/>
  <c r="G549" i="17" s="1"/>
  <c r="G586" i="19"/>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39" i="20"/>
  <c r="G512" i="17" s="1"/>
  <c r="G571" i="20"/>
  <c r="G544" i="17" s="1"/>
  <c r="G588" i="19"/>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1" i="20"/>
  <c r="G524" i="17" s="1"/>
  <c r="G629" i="19"/>
  <c r="G43" i="20"/>
  <c r="G22" i="17" s="1"/>
  <c r="G121" i="20"/>
  <c r="G100" i="17" s="1"/>
  <c r="G185" i="20"/>
  <c r="G164" i="17" s="1"/>
  <c r="G258" i="20"/>
  <c r="G235" i="17" s="1"/>
  <c r="G323" i="20"/>
  <c r="G300" i="17" s="1"/>
  <c r="G393" i="20"/>
  <c r="G368" i="17" s="1"/>
  <c r="G457" i="20"/>
  <c r="G430" i="17" s="1"/>
  <c r="G528" i="20"/>
  <c r="G501" i="17" s="1"/>
  <c r="G560" i="20"/>
  <c r="G533" i="17" s="1"/>
  <c r="G617" i="19"/>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55" i="20"/>
  <c r="G528" i="17" s="1"/>
  <c r="G623" i="19"/>
  <c r="G50" i="20"/>
  <c r="G29" i="17" s="1"/>
  <c r="G129" i="20"/>
  <c r="G108" i="17" s="1"/>
  <c r="G193" i="20"/>
  <c r="G172" i="17" s="1"/>
  <c r="G266" i="20"/>
  <c r="G243" i="17" s="1"/>
  <c r="G331" i="20"/>
  <c r="G308" i="17" s="1"/>
  <c r="G401" i="20"/>
  <c r="G376" i="17" s="1"/>
  <c r="G472" i="20"/>
  <c r="G445" i="17" s="1"/>
  <c r="G532" i="20"/>
  <c r="G505" i="17" s="1"/>
  <c r="G564" i="20"/>
  <c r="G537" i="17" s="1"/>
  <c r="G610" i="19"/>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204" i="19"/>
  <c r="G94" i="19"/>
  <c r="G390" i="19"/>
  <c r="G101" i="19"/>
  <c r="G254" i="19"/>
  <c r="G508" i="19"/>
  <c r="G231" i="19"/>
  <c r="G69" i="19"/>
  <c r="G519" i="20"/>
  <c r="G492"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286" i="1"/>
  <c r="J1287" i="1"/>
  <c r="J1281" i="1"/>
  <c r="J1263" i="1"/>
  <c r="J1271" i="1"/>
  <c r="J1240" i="1"/>
  <c r="J1248" i="1"/>
  <c r="J1256" i="1"/>
  <c r="J1276" i="1"/>
  <c r="J1258" i="1"/>
  <c r="J1266" i="1"/>
  <c r="J1274" i="1"/>
  <c r="J1243" i="1"/>
  <c r="J1251" i="1"/>
  <c r="J1259" i="1"/>
  <c r="J1252" i="1"/>
  <c r="J1279" i="1"/>
  <c r="J1261" i="1"/>
  <c r="J1246" i="1"/>
  <c r="J1254" i="1"/>
  <c r="J1280" i="1"/>
  <c r="J1270" i="1"/>
  <c r="J1247" i="1"/>
  <c r="J1288" i="1"/>
  <c r="J1282" i="1"/>
  <c r="J1264" i="1"/>
  <c r="J1272" i="1"/>
  <c r="J1241" i="1"/>
  <c r="J1249" i="1"/>
  <c r="J1257" i="1"/>
  <c r="J1275" i="1"/>
  <c r="J1265" i="1"/>
  <c r="J1273" i="1"/>
  <c r="J1242" i="1"/>
  <c r="J1250" i="1"/>
  <c r="J1289" i="1"/>
  <c r="J1277" i="1"/>
  <c r="J1267" i="1"/>
  <c r="J1244" i="1"/>
  <c r="J1269" i="1"/>
  <c r="J1262" i="1"/>
  <c r="J1239" i="1"/>
  <c r="J1255" i="1"/>
  <c r="J1290" i="1"/>
  <c r="J1283" i="1"/>
  <c r="J1291" i="1"/>
  <c r="J1284" i="1"/>
  <c r="J1292" i="1"/>
  <c r="J1278" i="1"/>
  <c r="J1260" i="1"/>
  <c r="J1268" i="1"/>
  <c r="J1245" i="1"/>
  <c r="J1253" i="1"/>
  <c r="J1285"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23"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21"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12" i="1"/>
  <c r="J1231" i="1"/>
  <c r="J27" i="1"/>
  <c r="J1031" i="1"/>
  <c r="J1055" i="1"/>
  <c r="J1079" i="1"/>
  <c r="J1108" i="1"/>
  <c r="J1132" i="1"/>
  <c r="J1156" i="1"/>
  <c r="J1180" i="1"/>
  <c r="J1204" i="1"/>
  <c r="J1228" i="1"/>
  <c r="J1013" i="1"/>
  <c r="J1037" i="1"/>
  <c r="J1087" i="1"/>
  <c r="J1135" i="1"/>
  <c r="J1183" i="1"/>
  <c r="J1236" i="1"/>
  <c r="J1015" i="1"/>
  <c r="J1068" i="1"/>
  <c r="J1140" i="1"/>
  <c r="J1213" i="1"/>
  <c r="J1012" i="1"/>
  <c r="J1036" i="1"/>
  <c r="J1060" i="1"/>
  <c r="J1085" i="1"/>
  <c r="J1109" i="1"/>
  <c r="J1133" i="1"/>
  <c r="J1157" i="1"/>
  <c r="J1181" i="1"/>
  <c r="J1205" i="1"/>
  <c r="J1229" i="1"/>
  <c r="J14" i="1"/>
  <c r="J1063" i="1"/>
  <c r="J1111" i="1"/>
  <c r="J1159" i="1"/>
  <c r="J1207" i="1"/>
  <c r="J1044" i="1"/>
  <c r="J1116" i="1"/>
  <c r="J1188" i="1"/>
  <c r="J1092" i="1"/>
  <c r="J1164" i="1"/>
  <c r="J1237"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38" i="1"/>
  <c r="J1230" i="1"/>
  <c r="J1222"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35" i="1"/>
  <c r="J1227" i="1"/>
  <c r="J1219"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34" i="1"/>
  <c r="J1226" i="1"/>
  <c r="J1218"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33" i="1"/>
  <c r="J1225" i="1"/>
  <c r="J1217"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32" i="1"/>
  <c r="J1224" i="1"/>
  <c r="J1216"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2" i="20" l="1"/>
  <c r="N585" i="20"/>
  <c r="N583" i="20"/>
  <c r="N584"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6" i="20"/>
  <c r="L586"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6" i="20"/>
  <c r="J586"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6"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88" i="20" s="1"/>
  <c r="Q25" i="20"/>
  <c r="I24" i="20"/>
  <c r="D55" i="15"/>
  <c r="M24" i="20" l="1"/>
  <c r="M588" i="20" s="1"/>
  <c r="K24" i="20"/>
  <c r="L24" i="20"/>
  <c r="L588"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8" i="20" s="1"/>
  <c r="O588"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<sst xmlns="http://schemas.openxmlformats.org/spreadsheetml/2006/main" count="26955" uniqueCount="1969">
  <si>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</si>
  <si>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</si>
  <si>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</si>
  <si>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</si>
  <si>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</si>
  <si>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</si>
  <si>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</si>
  <si>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</si>
  <si>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</si>
  <si>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</si>
  <si>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</si>
  <si>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</si>
  <si>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</si>
  <si>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</si>
  <si>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</si>
  <si>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</si>
  <si>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</si>
  <si>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</si>
  <si>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</si>
  <si>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</si>
  <si>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</si>
  <si>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</si>
  <si>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</si>
  <si>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</si>
  <si>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</si>
  <si>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</si>
  <si>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</si>
  <si>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</si>
  <si>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</si>
  <si>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</si>
  <si>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</si>
  <si>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</si>
  <si>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</si>
  <si>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</si>
  <si>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</si>
  <si>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</si>
  <si>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</si>
  <si>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</si>
  <si>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</si>
  <si>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</si>
  <si>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</si>
  <si>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</si>
  <si>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</si>
  <si>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</si>
  <si>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</si>
  <si>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</si>
  <si>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</si>
  <si>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</si>
  <si>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</si>
  <si>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</si>
  <si>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</si>
  <si>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</si>
  <si>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</si>
  <si>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</si>
  <si>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</si>
  <si>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</si>
  <si>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</si>
  <si>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</si>
  <si>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</si>
  <si>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</si>
  <si>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</si>
  <si>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</si>
  <si>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</si>
  <si>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</si>
  <si>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</si>
  <si>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</si>
  <si>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</si>
  <si>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</si>
  <si>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</si>
  <si>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</si>
  <si>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</si>
  <si>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</si>
  <si>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</si>
  <si>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</si>
  <si>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</si>
  <si>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</si>
  <si>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</si>
  <si>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</si>
  <si>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</si>
  <si>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</si>
  <si>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</si>
  <si>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</si>
  <si>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</si>
  <si>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</si>
  <si>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</si>
  <si>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</si>
  <si>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</si>
  <si>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</si>
  <si>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</si>
  <si>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</si>
  <si>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</si>
  <si>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</si>
  <si>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</si>
  <si>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</si>
  <si>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</si>
  <si>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</si>
  <si>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</si>
  <si>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</si>
  <si>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</si>
  <si>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</si>
  <si>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</si>
  <si>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</si>
  <si>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</si>
  <si>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</si>
  <si>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</si>
  <si>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</si>
  <si>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</si>
  <si>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</si>
  <si>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</si>
  <si>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</si>
  <si>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</si>
  <si>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</si>
  <si>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</si>
  <si>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</si>
  <si>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</si>
  <si>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</si>
  <si>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</si>
  <si>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</si>
  <si>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</si>
  <si>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</si>
  <si>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</si>
  <si>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</si>
  <si>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</si>
  <si>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</si>
  <si>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</si>
  <si>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</si>
  <si>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</si>
  <si>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</si>
  <si>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</si>
  <si>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</si>
  <si>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</si>
  <si>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</si>
  <si>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</si>
  <si>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</si>
  <si>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</si>
  <si>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</si>
  <si>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</si>
  <si>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</si>
  <si>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</si>
  <si>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</si>
  <si>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</si>
  <si>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</si>
  <si>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</si>
  <si>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</si>
  <si>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</si>
  <si>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</si>
  <si>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</si>
  <si>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</si>
  <si>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</si>
  <si>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</si>
  <si>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</si>
  <si>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</si>
  <si>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</si>
  <si>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</si>
  <si>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</si>
  <si>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</si>
  <si>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</si>
  <si>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</si>
  <si>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</si>
  <si>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</si>
  <si>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</si>
  <si>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</si>
  <si>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</si>
  <si>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</si>
  <si>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</si>
  <si>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</si>
  <si>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</si>
  <si>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</si>
  <si>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</si>
  <si>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</si>
  <si>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</si>
  <si>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</si>
  <si>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</si>
  <si>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</si>
  <si>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</si>
  <si>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</si>
  <si>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</si>
  <si>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</si>
  <si>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</si>
  <si>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</si>
  <si>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</si>
  <si>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</si>
  <si>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</si>
  <si>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</si>
  <si>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</si>
  <si>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</si>
  <si>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</si>
  <si>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</si>
  <si>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</si>
  <si>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</si>
  <si>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</si>
  <si>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</si>
  <si>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</si>
  <si>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</si>
  <si>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</si>
  <si>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</si>
  <si>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</si>
  <si>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</si>
  <si>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</si>
  <si>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</si>
  <si>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</si>
  <si>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</si>
  <si>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</si>
  <si>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</si>
  <si>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</si>
  <si>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</si>
  <si>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</si>
  <si>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</si>
  <si>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</si>
  <si>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</si>
  <si>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</si>
  <si>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</si>
  <si>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</si>
  <si>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</si>
  <si>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</si>
  <si>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</si>
  <si>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</si>
  <si>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</si>
  <si>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</si>
  <si>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</si>
  <si>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</si>
  <si>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</si>
  <si>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</si>
  <si>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</si>
  <si>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</si>
  <si>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</si>
  <si>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</si>
  <si>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</si>
  <si>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</si>
  <si>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</si>
  <si>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</si>
  <si>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</si>
  <si>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</si>
  <si>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</si>
  <si>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</si>
  <si>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</si>
  <si>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</si>
  <si>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</si>
  <si>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</si>
  <si>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</si>
  <si>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</si>
  <si>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</si>
  <si>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</si>
  <si>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</si>
  <si>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</si>
  <si>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</si>
  <si>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</si>
  <si>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</si>
  <si>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</si>
  <si>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</si>
  <si>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</si>
  <si>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</si>
  <si>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</si>
  <si>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</si>
  <si>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</si>
  <si>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</si>
  <si>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</si>
  <si>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</si>
  <si>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</si>
  <si>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</si>
  <si>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</si>
  <si>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</si>
  <si>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</si>
  <si>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</si>
  <si>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</si>
  <si>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</si>
  <si>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</si>
  <si>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</si>
  <si>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</si>
  <si>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</si>
  <si>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</si>
  <si>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</si>
  <si>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</si>
  <si>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</si>
  <si>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</si>
  <si>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</si>
  <si>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</si>
  <si>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</si>
  <si>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</si>
  <si>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</si>
  <si>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</si>
  <si>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</si>
  <si>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</si>
  <si>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</si>
  <si>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</si>
  <si>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</si>
  <si>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</si>
  <si>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</si>
  <si>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</si>
  <si>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</si>
  <si>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</si>
  <si>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</si>
  <si>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</si>
  <si>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</si>
  <si>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</si>
  <si>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</si>
  <si>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</si>
  <si>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</si>
  <si>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</si>
  <si>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</si>
  <si>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</si>
  <si>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</si>
  <si>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</si>
  <si>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</si>
  <si>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</si>
  <si>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</si>
  <si>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</si>
  <si>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</si>
  <si>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</si>
  <si>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</si>
  <si>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</si>
  <si>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</si>
  <si>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</si>
  <si>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</si>
  <si>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</si>
  <si>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</si>
  <si>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</si>
  <si>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</si>
  <si>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</si>
  <si>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</si>
  <si>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</si>
  <si>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</si>
  <si>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</si>
  <si>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</si>
  <si>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</si>
  <si>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</si>
  <si>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</si>
  <si>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</si>
  <si>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</si>
  <si>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</si>
  <si>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</si>
  <si>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</si>
  <si>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</si>
  <si>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</si>
  <si>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</si>
  <si>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</si>
  <si>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</si>
  <si>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</si>
  <si>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</si>
  <si>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</si>
  <si>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</si>
  <si>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</si>
  <si>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</si>
  <si>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</si>
  <si>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</si>
  <si>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</si>
  <si>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</si>
  <si>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</si>
  <si>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</si>
  <si>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</si>
  <si>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</si>
  <si>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</si>
  <si>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</si>
  <si>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</si>
  <si>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</si>
  <si>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</si>
  <si>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</si>
  <si>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</si>
  <si>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</si>
  <si>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</si>
  <si>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</si>
  <si>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</si>
  <si>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</si>
  <si>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</si>
  <si>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</si>
  <si>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</si>
  <si>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</si>
  <si>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</si>
  <si>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</si>
  <si>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</si>
  <si>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</si>
  <si>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</si>
  <si>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</si>
  <si>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</si>
  <si>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</si>
  <si>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</si>
  <si>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</si>
  <si>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</si>
  <si>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</si>
  <si>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</si>
  <si>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</si>
  <si>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</si>
  <si>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</si>
  <si>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</si>
  <si>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</si>
  <si>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</si>
  <si>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</si>
  <si>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</si>
  <si>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</si>
  <si>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</si>
  <si>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</si>
  <si>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</si>
  <si>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</si>
  <si>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</si>
  <si>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</si>
  <si>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</si>
  <si>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</si>
  <si>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</si>
  <si>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</si>
  <si>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</si>
  <si>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</si>
  <si>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</si>
  <si>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</si>
  <si>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</si>
  <si>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</si>
  <si>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</si>
  <si>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</si>
  <si>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</si>
  <si>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</si>
  <si>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</si>
  <si>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</si>
  <si>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</si>
  <si>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</si>
  <si>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</si>
  <si>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</si>
  <si>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</si>
  <si>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</si>
  <si>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</si>
  <si>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</si>
  <si>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</si>
  <si>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</si>
  <si>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</si>
  <si>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</si>
  <si>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</si>
  <si>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</si>
  <si>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</si>
  <si>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</si>
  <si>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</si>
  <si>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</si>
  <si>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</si>
  <si>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</si>
  <si>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</si>
  <si>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</si>
  <si>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</si>
  <si>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</si>
  <si>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</si>
  <si>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</si>
  <si>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</si>
  <si>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</si>
  <si>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</si>
  <si>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</si>
  <si>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</si>
  <si>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</si>
  <si>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</si>
  <si>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</si>
  <si>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</si>
  <si>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</si>
  <si>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</si>
  <si>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</si>
  <si>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</si>
  <si>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</si>
  <si>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</si>
  <si>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</si>
  <si>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</si>
  <si>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</si>
  <si>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</si>
  <si>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</si>
  <si>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</si>
  <si>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</si>
  <si>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</si>
  <si>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</si>
  <si>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</si>
  <si>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</si>
  <si>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</si>
  <si>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</si>
  <si>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</si>
  <si>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</si>
  <si>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</si>
  <si>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</si>
  <si>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</si>
  <si>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</si>
  <si>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</si>
  <si>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</si>
  <si>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</si>
  <si>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</si>
  <si>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</si>
  <si>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</si>
  <si>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</si>
  <si>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</si>
  <si>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</si>
  <si>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</si>
  <si>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</si>
  <si>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</si>
  <si>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</si>
  <si>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</si>
  <si>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</si>
  <si>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</si>
  <si>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</si>
  <si>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</si>
  <si>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</si>
  <si>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</si>
  <si>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</si>
  <si>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</si>
  <si>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</si>
  <si>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</si>
  <si>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</si>
  <si>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</si>
  <si>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</si>
  <si>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</si>
  <si>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</si>
  <si>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</si>
  <si>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</si>
  <si>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</si>
  <si>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</si>
  <si>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</si>
  <si>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</si>
  <si>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</si>
  <si>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</si>
  <si>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</si>
  <si>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</si>
  <si>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</si>
  <si>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</si>
  <si>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</si>
  <si>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</si>
  <si>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</si>
  <si>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</si>
  <si>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</si>
  <si>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</si>
  <si>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</si>
  <si>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</si>
  <si>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</si>
  <si>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</si>
  <si>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</si>
  <si>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</si>
  <si>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</si>
  <si>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</si>
  <si>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</si>
  <si>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</si>
  <si>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</si>
  <si>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</si>
  <si>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</si>
  <si>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</si>
  <si>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</si>
  <si>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</si>
  <si>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</si>
  <si>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</si>
  <si>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</si>
  <si>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</si>
  <si>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</si>
  <si>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</si>
  <si>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</si>
  <si>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</si>
  <si>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</si>
  <si>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</si>
  <si>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</si>
  <si>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</si>
  <si>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</si>
  <si>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</si>
  <si>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</si>
  <si>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</si>
  <si>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</si>
  <si>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</si>
  <si>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</si>
  <si>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</si>
  <si>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</si>
  <si>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</si>
  <si>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</si>
  <si>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</si>
  <si>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</si>
  <si>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</si>
  <si>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</si>
  <si>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</si>
  <si>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</si>
  <si>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</si>
  <si>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</si>
  <si>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</si>
  <si>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</si>
  <si>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</si>
  <si>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</si>
  <si>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</si>
  <si>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</si>
  <si>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</si>
  <si>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</si>
  <si>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</si>
  <si>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</si>
  <si>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</si>
  <si>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</si>
  <si>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</si>
  <si>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</si>
  <si>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</si>
  <si>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</si>
  <si>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</si>
  <si>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</si>
  <si>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</si>
  <si>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</si>
  <si>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</si>
  <si>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</si>
  <si>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</si>
  <si>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</si>
  <si>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</si>
  <si>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</si>
  <si>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</si>
  <si>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</si>
  <si>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</si>
  <si>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</si>
  <si>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</si>
  <si>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</si>
  <si>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</si>
  <si>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</si>
  <si>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</si>
  <si>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</si>
  <si>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</si>
  <si>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</si>
  <si>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</si>
  <si>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</si>
  <si>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</si>
  <si>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</si>
  <si>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</si>
  <si>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</si>
  <si>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</si>
  <si>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</si>
  <si>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</si>
  <si>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</si>
  <si>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</si>
  <si>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</si>
  <si>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</si>
  <si>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</si>
  <si>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</si>
  <si>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</si>
  <si>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</si>
  <si>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</si>
  <si>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</si>
  <si>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</si>
  <si>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</si>
  <si>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</si>
  <si>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</si>
  <si>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</si>
  <si>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</si>
  <si>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</si>
  <si>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</si>
  <si>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</si>
  <si>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</si>
  <si>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</si>
  <si>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</si>
  <si>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</si>
  <si>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</si>
  <si>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</si>
  <si>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</si>
  <si>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</si>
  <si>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</si>
  <si>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</si>
  <si>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</si>
  <si>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</si>
  <si>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</si>
  <si>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</si>
  <si>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</si>
  <si>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</si>
  <si>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</si>
  <si>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</si>
  <si>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</si>
  <si>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</si>
  <si>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</si>
  <si>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</si>
  <si>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</si>
  <si>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</si>
  <si>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</si>
  <si>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</si>
  <si>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</si>
  <si>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</si>
  <si>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</si>
  <si>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</si>
  <si>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</si>
  <si>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</si>
  <si>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</si>
  <si>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</si>
  <si>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</si>
  <si>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</si>
  <si>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</si>
  <si>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</si>
  <si>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</si>
  <si>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</si>
  <si>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</si>
  <si>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</si>
  <si>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</si>
  <si>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</si>
  <si>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</si>
  <si>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</si>
  <si>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</si>
  <si>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</si>
  <si>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</si>
  <si>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</si>
  <si>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</si>
  <si>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</si>
  <si>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</si>
  <si>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</si>
  <si>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</si>
  <si>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</si>
  <si>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</si>
  <si>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</si>
  <si>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</si>
  <si>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</si>
  <si>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</si>
  <si>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</si>
  <si>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</si>
  <si>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</si>
  <si>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</si>
  <si>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</si>
  <si>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</si>
  <si>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</si>
  <si>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</si>
  <si>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</si>
  <si>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</si>
  <si>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</si>
  <si>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</si>
  <si>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</si>
  <si>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</si>
  <si>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</si>
  <si>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</si>
  <si>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</si>
  <si>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</si>
  <si>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</si>
  <si>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</si>
  <si>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</si>
  <si>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</si>
  <si>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</si>
  <si>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</si>
  <si>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</si>
  <si>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</si>
  <si>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</si>
  <si>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</si>
  <si>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</si>
  <si>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</si>
  <si>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</si>
  <si>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</si>
  <si>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</si>
  <si>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</si>
  <si>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</si>
  <si>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</si>
  <si>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</si>
  <si>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</si>
  <si>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</si>
  <si>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</si>
  <si>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</si>
  <si>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</si>
  <si>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</si>
  <si>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</si>
  <si>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</si>
  <si>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</si>
  <si>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</si>
  <si>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</si>
  <si>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</si>
  <si>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</si>
  <si>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</si>
  <si>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</si>
  <si>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</si>
  <si>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</si>
  <si>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</si>
  <si>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</si>
  <si>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</si>
  <si>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</si>
  <si>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</si>
  <si>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</si>
  <si>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</si>
  <si>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</si>
  <si>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</si>
  <si>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</si>
  <si>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</si>
  <si>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</si>
  <si>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</si>
  <si>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</si>
  <si>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</si>
  <si>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</si>
  <si>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</si>
  <si>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</si>
  <si>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</si>
  <si>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</si>
  <si>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</si>
  <si>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</si>
  <si>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</si>
  <si>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</si>
  <si>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</si>
  <si>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</si>
  <si>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</si>
  <si>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</si>
  <si>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</si>
  <si>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</si>
  <si>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</si>
  <si>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</si>
  <si>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</si>
  <si>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</si>
  <si>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</si>
  <si>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</si>
  <si>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</si>
  <si>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</si>
  <si>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</si>
  <si>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</si>
  <si>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</si>
  <si>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</si>
  <si>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</si>
  <si>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</si>
  <si>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</si>
  <si>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</si>
  <si>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</si>
  <si>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</si>
  <si>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</si>
  <si>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</si>
  <si>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</si>
  <si>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</si>
  <si>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</si>
  <si>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</si>
  <si>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</si>
  <si>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</si>
  <si>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</si>
  <si>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</si>
  <si>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</si>
  <si>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</si>
  <si>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</si>
  <si>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</si>
  <si>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</si>
  <si>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</si>
  <si>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</si>
  <si>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</si>
  <si>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</si>
  <si>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</si>
  <si>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</si>
  <si>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</si>
  <si>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</si>
  <si>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</si>
  <si>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</si>
  <si>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</si>
  <si>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</si>
  <si>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</si>
  <si>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</si>
  <si>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</si>
  <si>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</si>
  <si>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</si>
  <si>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</si>
  <si>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</si>
  <si>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</si>
  <si>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</si>
  <si>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</si>
  <si>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</si>
  <si>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</si>
  <si>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</si>
  <si>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</si>
  <si>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</si>
  <si>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</si>
  <si>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</si>
  <si>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</si>
  <si>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</si>
  <si>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</si>
  <si>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</si>
  <si>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</si>
  <si>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</si>
  <si>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</si>
  <si>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</si>
  <si>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</si>
  <si>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</si>
  <si>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</si>
  <si>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</si>
  <si>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</si>
  <si>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</si>
  <si>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</si>
  <si>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</si>
  <si>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</si>
  <si>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</si>
  <si>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</si>
  <si>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</si>
  <si>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</si>
  <si>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</si>
  <si>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</si>
  <si>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</si>
  <si>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</si>
  <si>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</si>
  <si>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</si>
  <si>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</si>
  <si>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</si>
  <si>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</si>
  <si>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</si>
  <si>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</si>
  <si>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</si>
  <si>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</si>
  <si>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</si>
  <si>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</si>
  <si>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</si>
  <si>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</si>
  <si>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</si>
  <si>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</si>
  <si>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</si>
  <si>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</si>
  <si>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</si>
  <si>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</si>
  <si>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</si>
  <si>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</si>
  <si>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</si>
  <si>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</si>
  <si>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</si>
  <si>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</si>
  <si>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</si>
  <si>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</si>
  <si>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</si>
  <si>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</si>
  <si>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</si>
  <si>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</si>
  <si>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</si>
  <si>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</si>
  <si>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</si>
  <si>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</si>
  <si>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</si>
  <si>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</si>
  <si>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</si>
  <si>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</si>
  <si>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</si>
  <si>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</si>
  <si>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</si>
  <si>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</si>
  <si>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</si>
  <si>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</si>
  <si>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</si>
  <si>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</si>
  <si>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</si>
  <si>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</si>
  <si>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</si>
  <si>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</si>
  <si>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</si>
  <si>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</si>
  <si>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</si>
  <si>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</si>
  <si>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</si>
  <si>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</si>
  <si>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</si>
  <si>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</si>
  <si>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</si>
  <si>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</si>
  <si>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</si>
  <si>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</si>
  <si>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</si>
  <si>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</si>
  <si>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</si>
  <si>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</si>
  <si>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</si>
  <si>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</si>
  <si>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</si>
  <si>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</si>
  <si>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</si>
  <si>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</si>
  <si>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</si>
  <si>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</si>
  <si>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</si>
  <si>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</si>
  <si>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</si>
  <si>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</si>
  <si>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</si>
  <si>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</si>
  <si>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</si>
  <si>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</si>
  <si>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</si>
  <si>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</si>
  <si>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</si>
  <si>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</si>
  <si>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</si>
  <si>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</si>
  <si>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</si>
  <si>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</si>
  <si>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</si>
  <si>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</si>
  <si>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</si>
  <si>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</si>
  <si>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</si>
  <si>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</si>
  <si>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</si>
  <si>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</si>
  <si>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</si>
  <si>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</si>
  <si>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</si>
  <si>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</si>
  <si>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</si>
  <si>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</si>
  <si>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</si>
  <si>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</si>
  <si>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</si>
  <si>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</si>
  <si>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</si>
  <si>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</si>
  <si>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</si>
  <si>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</si>
  <si>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</si>
  <si>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</si>
  <si>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</si>
  <si>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</si>
  <si>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</si>
  <si>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</si>
  <si>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</si>
  <si>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</si>
  <si>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</si>
  <si>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</si>
  <si>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</si>
  <si>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</si>
  <si>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</si>
  <si>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</si>
  <si>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</si>
  <si>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</si>
  <si>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</si>
  <si>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</si>
  <si>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</si>
  <si>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</si>
  <si>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</si>
  <si>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</si>
  <si>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</si>
  <si>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</si>
  <si>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</si>
  <si>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</si>
  <si>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</si>
  <si>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</si>
  <si>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</si>
  <si>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</si>
  <si>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</si>
  <si>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</si>
  <si>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</si>
  <si>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</si>
  <si>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</si>
  <si>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</si>
  <si>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</si>
  <si>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</si>
  <si>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</si>
  <si>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</si>
  <si>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</si>
  <si>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</si>
  <si>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</si>
  <si>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</si>
  <si>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</si>
  <si>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</si>
  <si>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</si>
  <si>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</si>
  <si>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</si>
  <si>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</si>
  <si>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</si>
  <si>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</si>
  <si>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</si>
  <si>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</si>
  <si>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</si>
  <si>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</si>
  <si>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</si>
  <si>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</si>
  <si>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</si>
  <si>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</si>
  <si>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</si>
  <si>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</si>
  <si>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</si>
  <si>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</si>
  <si>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</si>
  <si>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</si>
  <si>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</si>
  <si>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</si>
  <si>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</si>
  <si>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</si>
  <si>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</si>
  <si>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</si>
  <si>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</si>
  <si>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</si>
  <si>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</si>
  <si>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</si>
  <si>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</si>
  <si>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</si>
  <si>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</si>
  <si>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</si>
  <si>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</si>
  <si>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</si>
  <si>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</si>
  <si>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</si>
  <si>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</si>
  <si>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</si>
  <si>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</si>
  <si>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</si>
  <si>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</si>
  <si>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</si>
  <si>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</si>
  <si>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</si>
  <si>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</si>
  <si>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</si>
  <si>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</si>
  <si>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</si>
  <si>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</si>
  <si>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</si>
  <si>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</si>
  <si>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</si>
  <si>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</si>
  <si>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</si>
  <si>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</si>
  <si>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</si>
  <si>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</si>
  <si>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</si>
  <si>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</si>
  <si>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</si>
  <si>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</si>
  <si>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</si>
  <si>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</si>
  <si>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</si>
  <si>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</si>
  <si>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</si>
  <si>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</si>
  <si>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</si>
  <si>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</si>
  <si>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</si>
  <si>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</si>
  <si>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</si>
  <si>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</si>
  <si>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</si>
  <si>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</si>
  <si>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</si>
  <si>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</si>
  <si>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</si>
  <si>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</si>
  <si>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</si>
  <si>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</si>
  <si>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</si>
  <si>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</si>
  <si>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</si>
  <si>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</si>
  <si>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</si>
  <si>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</si>
  <si>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</si>
  <si>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</si>
  <si>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</si>
  <si>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</si>
  <si>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</si>
  <si>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</si>
  <si>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</si>
  <si>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</si>
  <si>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</si>
  <si>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</si>
  <si>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</si>
  <si>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</si>
  <si>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</si>
  <si>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</si>
  <si>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</si>
  <si>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</si>
  <si>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</si>
  <si>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</si>
  <si>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</si>
  <si>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</si>
  <si>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</si>
  <si>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</si>
  <si>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</si>
  <si>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</si>
  <si>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</si>
  <si>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</si>
  <si>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</si>
  <si>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</si>
  <si>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</si>
  <si>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</si>
  <si>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</si>
  <si>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</si>
  <si>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</si>
  <si>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</si>
  <si>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</si>
  <si>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</si>
  <si>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</si>
  <si>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</si>
  <si>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</si>
  <si>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</si>
  <si>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</si>
  <si>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</si>
  <si>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</si>
  <si>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</si>
  <si>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</si>
  <si>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</si>
  <si>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</si>
  <si>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</si>
  <si>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</si>
  <si>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</si>
  <si>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</si>
  <si>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</si>
  <si>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</si>
  <si>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</si>
  <si>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</si>
  <si>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</si>
  <si>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</si>
  <si>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</si>
  <si>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</si>
  <si>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</si>
  <si>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</si>
  <si>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</si>
  <si>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</si>
  <si>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</si>
  <si>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</si>
  <si>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</si>
  <si>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</si>
  <si>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</si>
  <si>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</si>
  <si>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</si>
  <si>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</si>
  <si>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</si>
  <si>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</si>
  <si>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</si>
  <si>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</si>
  <si>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</si>
  <si>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</si>
  <si>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</si>
  <si>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</si>
  <si>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</si>
  <si>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</si>
  <si>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</si>
  <si>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</si>
  <si>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</si>
  <si>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</si>
  <si>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</si>
  <si>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</si>
  <si>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</si>
  <si>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</si>
  <si>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</si>
  <si>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</si>
  <si>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</si>
  <si>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</si>
  <si>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</si>
  <si>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</si>
  <si>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</si>
  <si>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</si>
  <si>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</si>
  <si>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</si>
  <si>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</si>
  <si>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</si>
  <si>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</si>
  <si>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</si>
  <si>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</si>
  <si>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</si>
  <si>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</si>
  <si>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</si>
  <si>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</si>
  <si>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</si>
  <si>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</si>
  <si>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</si>
  <si>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</si>
  <si>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</si>
  <si>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</si>
  <si>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</si>
  <si>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</si>
  <si>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</si>
  <si>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</si>
  <si>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</si>
  <si>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</si>
  <si>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</si>
  <si>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</si>
  <si>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</si>
  <si>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</si>
  <si>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</si>
  <si>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</si>
  <si>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</si>
  <si>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</si>
  <si>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</si>
  <si>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</si>
  <si>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</si>
  <si>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</si>
  <si>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</si>
  <si>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</si>
  <si>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</si>
  <si>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</si>
  <si>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</si>
  <si>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</si>
  <si>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</si>
  <si>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</si>
  <si>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</si>
  <si>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</si>
  <si>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</si>
  <si>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</si>
  <si>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</si>
  <si>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</si>
  <si>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</si>
  <si>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</si>
  <si>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</si>
  <si>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</si>
  <si>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</si>
  <si>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</si>
  <si>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</si>
  <si>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</si>
  <si>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</si>
  <si>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</si>
  <si>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</si>
  <si>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</si>
  <si>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</si>
  <si>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</si>
  <si>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</si>
  <si>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</si>
  <si>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</si>
  <si>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</si>
  <si>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</si>
  <si>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</si>
  <si>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</si>
  <si>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</si>
  <si>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</si>
  <si>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</si>
  <si>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</si>
  <si>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</si>
  <si>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</si>
  <si>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</si>
  <si>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</si>
  <si>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</si>
  <si>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</si>
  <si>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</si>
  <si>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</si>
  <si>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</si>
  <si>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</si>
  <si>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</si>
  <si>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</si>
  <si>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</si>
  <si>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</si>
  <si>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</si>
  <si>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</si>
  <si>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</si>
  <si>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</si>
  <si>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</si>
  <si>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</si>
  <si>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</si>
  <si>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</si>
  <si>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</si>
  <si>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</si>
  <si>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</si>
  <si>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</si>
  <si>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</si>
  <si>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</si>
  <si>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</si>
  <si>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</si>
  <si>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</si>
  <si>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</si>
  <si>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</si>
  <si>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</si>
  <si>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</si>
  <si>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</si>
  <si>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</si>
  <si>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</si>
  <si>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</si>
  <si>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</si>
  <si>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</si>
  <si>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</si>
  <si>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</si>
  <si>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</si>
  <si>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</si>
  <si>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</si>
  <si>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</si>
  <si>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</si>
  <si>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</si>
  <si>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</si>
  <si>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</si>
  <si>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</si>
  <si>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</si>
  <si>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</si>
  <si>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</si>
  <si>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</si>
  <si>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</si>
  <si>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</si>
  <si>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</si>
  <si>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</si>
  <si>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</si>
  <si>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</si>
  <si>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</si>
  <si>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</si>
  <si>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</si>
  <si>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</si>
  <si>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</si>
  <si>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</si>
  <si>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</si>
  <si>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</si>
  <si>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</si>
  <si>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</si>
  <si>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</si>
  <si>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</si>
  <si>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</si>
  <si>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</si>
  <si>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</si>
  <si>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</si>
  <si>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</si>
  <si>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</si>
  <si>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</si>
  <si>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</si>
  <si>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</si>
  <si>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</si>
  <si>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</si>
  <si>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</si>
  <si>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</si>
  <si>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</si>
  <si>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</si>
  <si>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</si>
  <si>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</si>
  <si>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</si>
  <si>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</si>
  <si>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</si>
  <si>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</si>
  <si>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</si>
  <si>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</si>
  <si>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</si>
  <si>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</si>
  <si>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</si>
  <si>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</si>
  <si>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</si>
  <si>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</si>
  <si>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</si>
  <si>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</si>
  <si>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</si>
  <si>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</si>
  <si>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</si>
  <si>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</si>
  <si>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</si>
  <si>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</si>
  <si>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</si>
  <si>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</si>
  <si>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</si>
  <si>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</si>
  <si>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</si>
  <si>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</si>
  <si>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</si>
  <si>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</si>
  <si>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</si>
  <si>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</si>
  <si>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</si>
  <si>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</si>
  <si>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</si>
  <si>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</si>
  <si>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</si>
  <si>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</si>
  <si>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</si>
  <si>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</si>
  <si>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</si>
  <si>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</si>
  <si>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</si>
  <si>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</si>
  <si>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</si>
  <si>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</si>
  <si>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</si>
  <si>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</si>
  <si>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</si>
  <si>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</si>
  <si>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</si>
  <si>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</si>
  <si>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</si>
  <si>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</si>
  <si>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</si>
  <si>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</si>
  <si>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</si>
  <si>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</si>
  <si>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</si>
  <si>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</si>
  <si>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</si>
  <si>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</si>
  <si>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</si>
  <si>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</si>
  <si>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</si>
  <si>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</si>
  <si>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</si>
  <si>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</si>
  <si>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</si>
  <si>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</si>
  <si>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</si>
  <si>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</si>
  <si>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</si>
  <si>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</si>
  <si>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</si>
  <si>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</si>
  <si>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</si>
  <si>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</si>
  <si>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</si>
  <si>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</si>
  <si>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</si>
  <si>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</si>
  <si>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</si>
  <si>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</si>
  <si>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</si>
  <si>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</si>
  <si>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</si>
  <si>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</si>
  <si>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</si>
  <si>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</si>
  <si>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</si>
  <si>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</si>
  <si>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</si>
  <si>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</si>
  <si>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</si>
  <si>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</si>
  <si>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</si>
  <si>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</si>
  <si>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</si>
  <si>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</si>
  <si>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</si>
  <si>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</si>
  <si>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</si>
  <si>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</si>
  <si>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</si>
  <si>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</si>
  <si>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</si>
  <si>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</si>
  <si>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</si>
  <si>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</si>
  <si>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</si>
  <si>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</si>
  <si>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</si>
  <si>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</si>
  <si>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</si>
  <si>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</si>
  <si>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</si>
  <si>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</si>
  <si>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</si>
  <si>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</si>
  <si>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</si>
  <si>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</si>
  <si>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</si>
  <si>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</si>
  <si>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</si>
  <si>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</si>
  <si>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</si>
  <si>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</si>
  <si>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</si>
  <si>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</si>
  <si>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</si>
  <si>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</si>
  <si>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</si>
  <si>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</si>
  <si>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</si>
  <si>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</si>
  <si>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</si>
  <si>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</si>
  <si>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</si>
  <si>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</si>
  <si>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</si>
  <si>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</si>
  <si>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</si>
  <si>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</si>
  <si>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</si>
  <si>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</si>
  <si>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</si>
  <si>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</si>
  <si>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</si>
  <si>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</si>
  <si>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</si>
  <si>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</si>
  <si>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</si>
  <si>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</si>
  <si>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</si>
  <si>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</si>
  <si>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</si>
  <si>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</si>
  <si>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</si>
  <si>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</si>
  <si>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</si>
  <si>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</si>
  <si>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</si>
  <si>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</si>
  <si>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</si>
  <si>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</si>
  <si>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</si>
  <si>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</si>
  <si>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</si>
  <si>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</si>
  <si>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</si>
  <si>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</si>
  <si>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</si>
  <si>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</si>
  <si>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</si>
  <si>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</si>
  <si>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</si>
  <si>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</si>
  <si>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</si>
  <si>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</si>
  <si>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</si>
  <si>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</si>
  <si>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</si>
  <si>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</si>
  <si>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</si>
  <si>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</si>
  <si>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</si>
  <si>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</si>
  <si>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</si>
  <si>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</si>
  <si>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</si>
  <si>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</si>
  <si>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</si>
  <si>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</si>
  <si>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</si>
  <si>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</si>
  <si>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</si>
  <si>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</si>
  <si>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</si>
  <si>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</si>
  <si>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</si>
  <si>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</si>
  <si>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</si>
  <si>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</si>
  <si>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</si>
  <si>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</si>
  <si>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</si>
  <si>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</si>
  <si>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</si>
  <si>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</si>
  <si>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</si>
  <si>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</si>
  <si>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</si>
  <si>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</si>
  <si>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</si>
  <si>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</si>
  <si>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</si>
  <si>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</si>
  <si>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</si>
  <si>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</si>
  <si>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</si>
  <si>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</si>
  <si>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</si>
  <si>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</si>
  <si>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</si>
  <si>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</si>
  <si>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</si>
  <si>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</si>
  <si>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</si>
  <si>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</si>
  <si>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</si>
  <si>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</si>
  <si>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</si>
  <si>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</si>
  <si>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</si>
  <si>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</si>
  <si>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</si>
  <si>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</si>
  <si>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</si>
  <si>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</si>
  <si>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</si>
  <si>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</si>
  <si>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</si>
  <si>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</si>
  <si>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</si>
  <si>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</si>
  <si>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</si>
  <si>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</si>
  <si>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</si>
  <si>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</si>
  <si>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</si>
  <si>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</si>
  <si>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</si>
  <si>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</si>
  <si>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</si>
  <si>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</si>
  <si>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</si>
  <si>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</si>
  <si>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</si>
  <si>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</si>
  <si>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</si>
  <si>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</si>
  <si>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</si>
  <si>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</si>
  <si>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</si>
  <si>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</si>
  <si>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</si>
  <si>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</si>
  <si>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</si>
  <si>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</si>
  <si>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</si>
  <si>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</si>
  <si>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</si>
  <si>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</si>
  <si>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</si>
  <si>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</si>
  <si>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</si>
  <si>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</si>
  <si>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</si>
  <si>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</si>
  <si>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</si>
  <si>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</si>
  <si>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</si>
  <si>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</si>
  <si>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</si>
  <si>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</si>
  <si>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</si>
  <si>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</si>
  <si>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</si>
  <si>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</si>
  <si>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</si>
  <si>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</si>
  <si>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</si>
  <si>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</si>
  <si>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</si>
  <si>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</si>
  <si>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</si>
  <si>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</si>
  <si>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</si>
  <si>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</si>
  <si>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</si>
  <si>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</si>
  <si>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</si>
  <si>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</si>
  <si>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</si>
  <si>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</si>
  <si>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</si>
  <si>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</si>
  <si>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</si>
  <si>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</si>
  <si>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</si>
  <si>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</si>
  <si>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</si>
  <si>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</si>
  <si>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</si>
  <si>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</si>
  <si>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</si>
  <si>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</si>
  <si>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</si>
  <si>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</si>
  <si>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</si>
  <si>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</si>
  <si>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</si>
  <si>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</si>
  <si>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</si>
  <si>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</si>
  <si>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</si>
  <si>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</si>
  <si>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</si>
  <si>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</si>
  <si>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</si>
  <si>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</si>
  <si>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</si>
  <si>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</si>
  <si>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</si>
  <si>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</si>
  <si>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</si>
  <si>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</si>
  <si>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</si>
  <si>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</si>
  <si>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</si>
  <si>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</si>
  <si>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</si>
  <si>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</si>
  <si>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</si>
  <si>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</si>
  <si>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</si>
  <si>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</si>
  <si>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</si>
  <si>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</si>
  <si>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</si>
  <si>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</si>
  <si>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</si>
  <si>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</si>
  <si>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</si>
  <si>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</si>
  <si>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</si>
  <si>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</si>
  <si>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</si>
  <si>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</si>
  <si>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</si>
  <si>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</si>
  <si>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</si>
  <si>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</si>
  <si>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</si>
  <si>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</si>
  <si>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</si>
  <si>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</si>
  <si>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</si>
  <si>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</si>
  <si>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</si>
  <si>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</si>
  <si>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</si>
  <si>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</si>
  <si>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</si>
  <si>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</si>
  <si>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</si>
  <si>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</si>
  <si>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</si>
  <si>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</si>
  <si>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</si>
  <si>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</si>
  <si>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</si>
  <si>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</si>
  <si>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</si>
  <si>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</si>
  <si>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</si>
  <si>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</si>
  <si>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</si>
  <si>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</si>
  <si>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</si>
  <si>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</si>
  <si>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</si>
  <si>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</si>
  <si>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</si>
  <si>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</si>
  <si>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</si>
  <si>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</si>
  <si>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</si>
  <si>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</si>
  <si>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</si>
  <si>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</si>
  <si>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</si>
  <si>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</si>
  <si>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</si>
  <si>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</si>
  <si>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</si>
  <si>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</si>
  <si>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</si>
  <si>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</si>
  <si>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</si>
  <si>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</si>
  <si>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</si>
  <si>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</si>
  <si>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</si>
  <si>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</si>
  <si>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</si>
  <si>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</si>
  <si>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</si>
  <si>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</si>
  <si>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</si>
  <si>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</si>
  <si>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</si>
  <si>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</si>
  <si>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</si>
  <si>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</si>
  <si>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</si>
  <si>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</si>
  <si>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</si>
  <si>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</si>
  <si>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</si>
  <si>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</si>
  <si>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</si>
  <si>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</si>
  <si>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</si>
  <si>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</si>
  <si>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</si>
  <si>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</si>
  <si>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</si>
  <si>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</si>
  <si>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</si>
  <si>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</si>
  <si>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</si>
  <si>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</si>
  <si>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</si>
  <si>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</si>
  <si>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</si>
  <si>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</si>
  <si>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</si>
  <si>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</si>
  <si>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</si>
  <si>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</si>
  <si>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</si>
  <si>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</si>
  <si>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</si>
  <si>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</si>
  <si>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</si>
  <si>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</si>
  <si>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</si>
  <si>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</si>
  <si>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</si>
  <si>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</si>
  <si>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</si>
  <si>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</si>
  <si>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</si>
  <si>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</si>
  <si>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</si>
  <si>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</si>
  <si>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</si>
  <si>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</si>
  <si>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</si>
  <si>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</si>
  <si>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</si>
  <si>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</si>
  <si>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</si>
  <si>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</si>
  <si>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</si>
  <si>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</si>
  <si>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</si>
  <si>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</si>
  <si>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</si>
  <si>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</si>
  <si>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</si>
  <si>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</si>
  <si>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</si>
  <si>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</si>
  <si>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</si>
  <si>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</si>
  <si>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</si>
  <si>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</si>
  <si>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</si>
  <si>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</si>
  <si>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</si>
  <si>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</si>
  <si>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</si>
  <si>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</si>
  <si>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</si>
  <si>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</si>
  <si>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</si>
  <si>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</si>
  <si>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</si>
  <si>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</si>
  <si>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</si>
  <si>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</si>
  <si>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</si>
  <si>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</si>
  <si>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</si>
  <si>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</si>
  <si>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</si>
  <si>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</si>
  <si>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</si>
  <si>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</si>
  <si>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</si>
  <si>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</si>
  <si>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</si>
  <si>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</si>
  <si>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</si>
  <si>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</si>
  <si>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</si>
  <si>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</si>
  <si>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</si>
  <si>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</si>
  <si>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</si>
  <si>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</si>
  <si>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</si>
  <si>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</si>
  <si>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</si>
  <si>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</si>
  <si>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</si>
  <si>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</si>
  <si>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</si>
  <si>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</si>
  <si>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</si>
  <si>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</si>
  <si>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</si>
  <si>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</si>
  <si>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</si>
  <si>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</si>
  <si>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</si>
  <si>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</si>
  <si>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</si>
  <si>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</si>
  <si>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</si>
  <si>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</si>
  <si>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</si>
  <si>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</si>
  <si>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</si>
  <si>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</si>
  <si>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</si>
  <si>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</si>
  <si>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</si>
  <si>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</si>
  <si>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</si>
  <si>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</si>
  <si>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</si>
  <si>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</si>
  <si>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</si>
  <si>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</si>
  <si>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</si>
  <si>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</si>
  <si>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</si>
  <si>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</si>
  <si>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</si>
  <si>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</si>
  <si>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</si>
  <si>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</si>
  <si>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</si>
  <si>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</si>
  <si>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</si>
  <si>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</si>
  <si>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</si>
  <si>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</si>
  <si>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</si>
  <si>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</si>
  <si>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</si>
  <si>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</si>
  <si>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</si>
  <si>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</si>
  <si>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</si>
  <si>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</si>
  <si>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E-mail enviado à Corporação no dia 10/10 e reforçado no dia 17/10</t>
  </si>
  <si>
    <t xml:space="preserve">- Pendência de desenvolvimentos de IT: Tabela de certificados energéticos. </t>
  </si>
  <si>
    <t>- Pendente de desenvolvimentos de IT</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</si>
  <si>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</si>
  <si>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</si>
  <si>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</si>
  <si>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</si>
  <si>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</si>
  <si>
    <t>- Encontra-se em curso as re-especificações do Pilar III</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</si>
  <si>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</si>
  <si>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r>
      <t>1.</t>
    </r>
    <r>
      <rPr>
        <b/>
        <sz val="11"/>
        <rFont val="Santander Text"/>
        <family val="2"/>
      </rPr>
      <t xml:space="preserve"> Datas de entrega de Tecnologia: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(pendência de reunião a realizar no dia 28/10) 
- Disponibilização de funcionalidades de Pedido de informação para a Gloval: TBD (pendência de reunião a realizar no dia 28/10) 
 </t>
    </r>
  </si>
  <si>
    <t>Pendente de feedback de CDO - Reunião marcada para dia 28/10</t>
  </si>
  <si>
    <r>
      <t xml:space="preserve">1. Realizada a </t>
    </r>
    <r>
      <rPr>
        <b/>
        <sz val="11"/>
        <color theme="1"/>
        <rFont val="Santander Text"/>
        <family val="2"/>
      </rPr>
      <t>sessão de priorização de desenvolvimentos</t>
    </r>
    <r>
      <rPr>
        <sz val="11"/>
        <color theme="1"/>
        <rFont val="Santander Text"/>
        <family val="2"/>
      </rPr>
      <t xml:space="preserve"> com a equipa de Tecnologia.
2.  </t>
    </r>
    <r>
      <rPr>
        <b/>
        <sz val="11"/>
        <color theme="1"/>
        <rFont val="Santander Text"/>
        <family val="2"/>
      </rPr>
      <t xml:space="preserve">Campos Em Implementação (re-especificão) ou Em Correção.
</t>
    </r>
    <r>
      <rPr>
        <sz val="11"/>
        <color theme="1"/>
        <rFont val="Santander Text"/>
        <family val="2"/>
      </rPr>
      <t>3.</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</si>
  <si>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t>- Já foram testados os campos da LT Estrutural e uma tabela de parametrização.</t>
  </si>
  <si>
    <r>
      <rPr>
        <b/>
        <sz val="11"/>
        <color theme="1" tint="4.9989318521683403E-2"/>
        <rFont val="Santander Text"/>
        <family val="2"/>
      </rPr>
      <t xml:space="preserve">1. Continuação da simulação das Tabelas instrument e entity.
2. Foram concluídas as re-especificações de 19 campos.
</t>
    </r>
    <r>
      <rPr>
        <sz val="11"/>
        <color theme="1" tint="4.9989318521683403E-2"/>
        <rFont val="Santander Text"/>
        <family val="2"/>
      </rPr>
      <t xml:space="preserve">
3</t>
    </r>
    <r>
      <rPr>
        <b/>
        <sz val="11"/>
        <color theme="1" tint="4.9989318521683403E-2"/>
        <rFont val="Santander Text"/>
        <family val="2"/>
      </rPr>
      <t xml:space="preserve">. Detalhe dos campos em Re-especificação (15):
- </t>
    </r>
    <r>
      <rPr>
        <sz val="11"/>
        <color theme="1" tint="4.9989318521683403E-2"/>
        <rFont val="Santander Text"/>
        <family val="2"/>
      </rPr>
      <t>Metodologia de Aprovisionamento de Emissões de Scopes (esclarecimentos da corporação)</t>
    </r>
    <r>
      <rPr>
        <b/>
        <sz val="11"/>
        <color theme="1" tint="4.9989318521683403E-2"/>
        <rFont val="Santander Text"/>
        <family val="2"/>
      </rPr>
      <t xml:space="preserve">
</t>
    </r>
    <r>
      <rPr>
        <sz val="11"/>
        <color theme="1" tint="4.9989318521683403E-2"/>
        <rFont val="Santander Text"/>
        <family val="2"/>
      </rPr>
      <t>- Metodologia de aprovisionamento de juros e comissões
4</t>
    </r>
    <r>
      <rPr>
        <b/>
        <sz val="11"/>
        <color theme="1" tint="4.9989318521683403E-2"/>
        <rFont val="Santander Text"/>
        <family val="2"/>
      </rPr>
      <t xml:space="preserve">. Detalhe dos campos em Validação EF (Dependências):
</t>
    </r>
    <r>
      <rPr>
        <sz val="11"/>
        <color theme="1"/>
        <rFont val="Santander Text"/>
        <family val="2"/>
      </rPr>
      <t>- Reunião com CDO  (4 campos): Criação de Nova tabela (reunião agendada para dia 28/10)</t>
    </r>
    <r>
      <rPr>
        <sz val="11"/>
        <color theme="1" tint="4.9989318521683403E-2"/>
        <rFont val="Santander Text"/>
        <family val="2"/>
      </rPr>
      <t xml:space="preserve">
- Reunião com CDO (1 campo): Dependência de implementação de Loan Tape Estrutural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</si>
  <si>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Tema de Loan Tape Estrutural</t>
  </si>
  <si>
    <r>
      <t>Sumário Executivo</t>
    </r>
    <r>
      <rPr>
        <b/>
        <sz val="14"/>
        <color theme="4"/>
        <rFont val="Santander Text"/>
        <family val="2"/>
      </rPr>
      <t xml:space="preserve"> |</t>
    </r>
    <r>
      <rPr>
        <b/>
        <sz val="11"/>
        <color theme="4"/>
        <rFont val="Santander Text"/>
        <family val="2"/>
      </rPr>
      <t>25 de outubro a 30 de outubro</t>
    </r>
  </si>
  <si>
    <t xml:space="preserve">Pendente dos restantes campos da tabela de parametrização LT827.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</si>
</sst>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2.2 Em Re-especificação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5</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1">
                  <c:v>14</c:v>
                </c:pt>
                <c:pt idx="2">
                  <c:v>20</c:v>
                </c:pt>
                <c:pt idx="5">
                  <c:v>10</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2.2 Em Re-especificação</c:v>
                </c:pt>
              </c:strCache>
            </c:strRef>
          </c:cat>
          <c:val>
            <c:numRef>
              <c:f>'Aux - Pivots2'!$C$116:$C$121</c:f>
              <c:numCache>
                <c:formatCode>General</c:formatCode>
                <c:ptCount val="5"/>
                <c:pt idx="0">
                  <c:v>53</c:v>
                </c:pt>
                <c:pt idx="1">
                  <c:v>1</c:v>
                </c:pt>
                <c:pt idx="2">
                  <c:v>52</c:v>
                </c:pt>
                <c:pt idx="3">
                  <c:v>18</c:v>
                </c:pt>
                <c:pt idx="4">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4.47153564814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2">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4.47154537036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2 Em Re-especificação"/>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4.47154733796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4.47154942129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2 Em Re-especificação"/>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4.47155092592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4.47155312499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4.4715550925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10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66" firstHeaderRow="0" firstDataRow="1" firstDataCol="1"/>
  <pivotFields count="5">
    <pivotField axis="axisRow" compact="0" allDrilled="1" outline="0"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1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1" series="1">
      <pivotArea type="data" outline="0" fieldPosition="0">
        <references count="2">
          <reference field="4294967294" count="1" selected="0">
            <x v="0"/>
          </reference>
          <reference field="5" count="1" selected="0">
            <x v="1"/>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1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1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1"/>
        <item x="5"/>
        <item x="6"/>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4"/>
          </reference>
        </references>
      </pivotArea>
    </chartFormat>
    <chartFormat chart="6" format="26">
      <pivotArea type="data" outline="0" fieldPosition="0">
        <references count="2">
          <reference field="4294967294" count="1" selected="0">
            <x v="0"/>
          </reference>
          <reference field="3" count="1" selected="0">
            <x v="5"/>
          </reference>
        </references>
      </pivotArea>
    </chartFormat>
    <chartFormat chart="6" format="27">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1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68" totalsRowShown="0" headerRowDxfId="124" tableBorderDxfId="123">
  <autoFilter ref="B6:N568">
    <filterColumn colId="11">
      <filters>
        <dateGroupItem year="2024" month="10" day="28" dateTimeGrouping="day"/>
      </filters>
    </filterColumn>
  </autoFilter>
  <tableColumns count="13">
    <tableColumn id="1" name="Âmbito" dataDxfId="122"/>
    <tableColumn id="2" name="Sub-âmbito" dataDxfId="121"/>
    <tableColumn id="3" name="Tipo de teste" dataDxfId="120"/>
    <tableColumn id="4" name="Tabela" dataDxfId="119"/>
    <tableColumn id="5" name="Campo" dataDxfId="118"/>
    <tableColumn id="6" name="Status Atual" dataDxfId="117"/>
    <tableColumn id="7" name="Status Anterior" dataDxfId="116"/>
    <tableColumn id="8" name="Observações" dataDxfId="115"/>
    <tableColumn id="9" name="Data de Pedido correção/esclarecimento" dataDxfId="114">
      <calculatedColumnFormula>IF(VLOOKUP(A7,'Aux - pivots1'!$A:$E,3,0)=0, "",VLOOKUP(A7,'Aux - pivots1'!$A:$E,3,0))</calculatedColumnFormula>
    </tableColumn>
    <tableColumn id="10" name="Data de correção prevista" dataDxfId="113">
      <calculatedColumnFormula>IF(VLOOKUP(A7,'Aux - pivots1'!$A:$E,4,0)=0, "",VLOOKUP(A7,'Aux - pivots1'!$A:$E,4,0))</calculatedColumnFormula>
    </tableColumn>
    <tableColumn id="11" name="Data de correção efetiva" dataDxfId="112">
      <calculatedColumnFormula>IF(VLOOKUP(A7,'Aux - pivots1'!$A:$E,5,0)=0, "",VLOOKUP(A7,'Aux - pivots1'!$A:$E,5,0))</calculatedColumnFormula>
    </tableColumn>
    <tableColumn id="12" name="Data Prevista de Re-especificação" dataDxfId="111"/>
    <tableColumn id="13" name="Data Prevista de Teste" dataDxfId="110"/>
  </tableColumns>
  <tableStyleInfo showFirstColumn="0" showLastColumn="0" showRowStripes="1" showColumnStripes="0"/>
</table>
</file>

<file path=xl/tables/table2.xml><?xml version="1.0" encoding="utf-8"?>
<table xmlns="http://schemas.openxmlformats.org/spreadsheetml/2006/main" id="1" name="Table1" displayName="Table1" ref="B8:X1302" headerRowDxfId="54" dataDxfId="52" totalsRowDxfId="50" headerRowBorderDxfId="53" tableBorderDxfId="51" totalsRowBorderDxfId="49">
  <autoFilter ref="B8:X1302">
    <filterColumn colId="1">
      <filters>
        <filter val="Pilar III"/>
      </filters>
    </filterColumn>
    <filterColumn colId="7">
      <filters>
        <filter val="4. Validação EF"/>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2.2 Em Re-especificação</v>
      </c>
      <c r="H492" s="65">
        <f>VLOOKUP(A492,'Aux - pivots1'!$A:$B,2,0)</f>
        <v>3</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2.2 Em Re-especificação</v>
      </c>
      <c r="H493" s="65">
        <f>VLOOKUP(A493,'Aux - pivots1'!$A:$B,2,0)</f>
        <v>3</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2.2 Em Re-especificação</v>
      </c>
      <c r="H541" s="65">
        <f>VLOOKUP(A541,'Aux - pivots1'!$A:$B,2,0)</f>
        <v>3</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2.2 Em Re-especificação</v>
      </c>
      <c r="H542" s="65">
        <f>VLOOKUP(A542,'Aux - pivots1'!$A:$B,2,0)</f>
        <v>3</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2.2 Em Re-especificação</v>
      </c>
      <c r="H543" s="65">
        <f>VLOOKUP(A543,'Aux - pivots1'!$A:$B,2,0)</f>
        <v>3</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2.2 Em Re-especificação</v>
      </c>
      <c r="H561" s="65">
        <f>VLOOKUP(A561,'Aux - pivots1'!$A:$B,2,0)</f>
        <v>3</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43" priority="11" operator="notEqual">
      <formula>0</formula>
    </cfRule>
  </conditionalFormatting>
  <conditionalFormatting sqref="L21:L23">
    <cfRule type="cellIs" dxfId="142" priority="3" operator="notEqual">
      <formula>0</formula>
    </cfRule>
  </conditionalFormatting>
  <conditionalFormatting sqref="L577:L579">
    <cfRule type="cellIs" dxfId="141" priority="2" operator="notEqual">
      <formula>0</formula>
    </cfRule>
  </conditionalFormatting>
  <conditionalFormatting sqref="L582:L636">
    <cfRule type="cellIs" dxfId="140" priority="1" operator="notEqual">
      <formula>0</formula>
    </cfRule>
  </conditionalFormatting>
  <conditionalFormatting sqref="M5:M6 N6:FK6">
    <cfRule type="cellIs" dxfId="139" priority="12" operator="notEqual">
      <formula>0</formula>
    </cfRule>
  </conditionalFormatting>
  <conditionalFormatting sqref="M15:FK18 M21:FK23 M577:FK579 M636:FK636">
    <cfRule type="cellIs" dxfId="138" priority="10" operator="greaterThan">
      <formula>0</formula>
    </cfRule>
  </conditionalFormatting>
  <conditionalFormatting sqref="M26:FK27">
    <cfRule type="cellIs" dxfId="137" priority="9" operator="greaterThan">
      <formula>0</formula>
    </cfRule>
  </conditionalFormatting>
  <conditionalFormatting sqref="M42:FK42">
    <cfRule type="cellIs" dxfId="136" priority="8" operator="greaterThan">
      <formula>0</formula>
    </cfRule>
  </conditionalFormatting>
  <conditionalFormatting sqref="M198:FK198">
    <cfRule type="cellIs" dxfId="135" priority="7" operator="greaterThan">
      <formula>0</formula>
    </cfRule>
  </conditionalFormatting>
  <conditionalFormatting sqref="M362:FK362">
    <cfRule type="cellIs" dxfId="134" priority="6" operator="greaterThan">
      <formula>0</formula>
    </cfRule>
  </conditionalFormatting>
  <conditionalFormatting sqref="M447:FK447">
    <cfRule type="cellIs" dxfId="133" priority="5" operator="greaterThan">
      <formula>0</formula>
    </cfRule>
  </conditionalFormatting>
  <conditionalFormatting sqref="M582:FK583">
    <cfRule type="cellIs" dxfId="13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abSelected="1" topLeftCell="I83" zoomScale="85" zoomScaleNormal="85" workbookViewId="0">
      <selection activeCell="U90" sqref="U90"/>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1967</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29" t="s">
        <v>1954</v>
      </c>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1"/>
      <c r="AH8" s="117"/>
    </row>
    <row r="9" spans="1:34" ht="17.7" customHeight="1">
      <c r="A9" s="117"/>
      <c r="B9" s="232"/>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4"/>
      <c r="AH9" s="117"/>
    </row>
    <row r="10" spans="1:34" ht="17.7" customHeight="1">
      <c r="A10" s="117"/>
      <c r="B10" s="232"/>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4"/>
      <c r="AH10" s="117"/>
    </row>
    <row r="11" spans="1:34" ht="17.7" customHeight="1">
      <c r="A11" s="117"/>
      <c r="B11" s="232"/>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3"/>
      <c r="AA11" s="233"/>
      <c r="AB11" s="233"/>
      <c r="AC11" s="233"/>
      <c r="AD11" s="233"/>
      <c r="AE11" s="233"/>
      <c r="AF11" s="233"/>
      <c r="AG11" s="234"/>
      <c r="AH11" s="117"/>
    </row>
    <row r="12" spans="1:34" ht="17.7" customHeight="1">
      <c r="A12" s="117"/>
      <c r="B12" s="232"/>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4"/>
      <c r="AH12" s="117"/>
    </row>
    <row r="13" spans="1:34" ht="17.7" customHeight="1">
      <c r="A13" s="117"/>
      <c r="B13" s="232"/>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4"/>
      <c r="AH13" s="117"/>
    </row>
    <row r="14" spans="1:34" ht="17.7" customHeight="1">
      <c r="A14" s="117"/>
      <c r="B14" s="232"/>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4"/>
      <c r="AH14" s="117"/>
    </row>
    <row r="15" spans="1:34" ht="17.7" customHeight="1">
      <c r="A15" s="117"/>
      <c r="B15" s="232"/>
      <c r="C15" s="233"/>
      <c r="D15" s="233"/>
      <c r="E15" s="233"/>
      <c r="F15" s="233"/>
      <c r="G15" s="233"/>
      <c r="H15" s="233"/>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4"/>
      <c r="AH15" s="117"/>
    </row>
    <row r="16" spans="1:34" ht="17.7" customHeight="1">
      <c r="A16" s="117"/>
      <c r="B16" s="232"/>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4"/>
      <c r="AH16" s="117"/>
    </row>
    <row r="17" spans="1:34" ht="17.7" customHeight="1">
      <c r="A17" s="117"/>
      <c r="B17" s="232"/>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4"/>
      <c r="AH17" s="117"/>
    </row>
    <row r="18" spans="1:34" ht="17.7" customHeight="1">
      <c r="A18" s="117"/>
      <c r="B18" s="232"/>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4"/>
      <c r="AH18" s="117"/>
    </row>
    <row r="19" spans="1:34" ht="17.7" customHeight="1">
      <c r="A19" s="117"/>
      <c r="B19" s="235"/>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7"/>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T25+5</f>
        <v>45595</v>
      </c>
      <c r="V25" s="133" t="s">
        <v>611</v>
      </c>
      <c r="X25" s="156" t="s">
        <v>612</v>
      </c>
      <c r="AG25" s="123"/>
      <c r="AH25" s="117"/>
    </row>
    <row r="26" spans="1:34" ht="17.7" customHeight="1">
      <c r="A26" s="117"/>
      <c r="B26" s="122"/>
      <c r="P26" s="26" t="s">
        <v>613</v>
      </c>
      <c r="T26" s="26">
        <f>COUNTIFS('2. Status Detalhe Campos'!$H$7:$H$568,'1. Status Resumo'!$P26,'2. Status Detalhe Campos'!$C$7:$C$568,'1. Status Resumo'!$G$22,'2. Status Detalhe Campos'!$D$7:$D$568,"2. Campo")+COUNTIFS('2. Status Detalhe Campos'!$H$7:$H$568,'1. Status Resumo'!$P26,'2. Status Detalhe Campos'!$C$7:$C$568,'1. Status Resumo'!$H$22,'2. Status Detalhe Campos'!$D$7:$D$568,"2. Campo")</f>
        <v>10</v>
      </c>
      <c r="U26" s="26">
        <f>COUNTIFS('2. Status Detalhe Campos'!$G$7:$G$568,'1. Status Resumo'!$P26,'2. Status Detalhe Campos'!$C$7:$C$568,'1. Status Resumo'!$G$22,'2. Status Detalhe Campos'!$D$7:$D$568,"2. Campo")+COUNTIFS('2. Status Detalhe Campos'!$G$7:$G$568,'1. Status Resumo'!$P26,'2. Status Detalhe Campos'!$C$7:$C$568,'1. Status Resumo'!$H$22,'2. Status Detalhe Campos'!$D$7:$D$568,"2. Campo")</f>
        <v>10</v>
      </c>
      <c r="V26" s="26">
        <f>U26-T26</f>
        <v>0</v>
      </c>
      <c r="X26" s="247" t="s">
        <v>1961</v>
      </c>
      <c r="Y26" s="248"/>
      <c r="Z26" s="248"/>
      <c r="AA26" s="248"/>
      <c r="AB26" s="248"/>
      <c r="AC26" s="248"/>
      <c r="AD26" s="248"/>
      <c r="AE26" s="248"/>
      <c r="AF26" s="249"/>
      <c r="AG26" s="164"/>
      <c r="AH26" s="117"/>
    </row>
    <row r="27" spans="1:34">
      <c r="A27" s="117"/>
      <c r="B27" s="122"/>
      <c r="P27" s="26" t="s">
        <v>614</v>
      </c>
      <c r="T27" s="26">
        <f>COUNTIFS('2. Status Detalhe Campos'!$H$7:$H$568,'1. Status Resumo'!$P27,'2. Status Detalhe Campos'!$C$7:$C$568,'1. Status Resumo'!$G$22,'2. Status Detalhe Campos'!$D$7:$D$568,"2. Campo")+COUNTIFS('2. Status Detalhe Campos'!$H$7:$H$568,'1. Status Resumo'!$P27,'2. Status Detalhe Campos'!$C$7:$C$568,'1. Status Resumo'!$H$22,'2. Status Detalhe Campos'!$D$7:$D$568,"2. Campo")</f>
        <v>124</v>
      </c>
      <c r="U27" s="26">
        <f>COUNTIFS('2. Status Detalhe Campos'!$G$7:$G$568,'1. Status Resumo'!$P27,'2. Status Detalhe Campos'!$C$7:$C$568,'1. Status Resumo'!$G$22,'2. Status Detalhe Campos'!$D$7:$D$568,"2. Campo")+COUNTIFS('2. Status Detalhe Campos'!$G$7:$G$568,'1. Status Resumo'!$P27,'2. Status Detalhe Campos'!$C$7:$C$568,'1. Status Resumo'!$H$22,'2. Status Detalhe Campos'!$D$7:$D$568,"2. Campo")</f>
        <v>124</v>
      </c>
      <c r="V27" s="26">
        <f t="shared" ref="V27:V34" si="0">U27-T27</f>
        <v>0</v>
      </c>
      <c r="X27" s="250"/>
      <c r="Y27" s="251"/>
      <c r="Z27" s="251"/>
      <c r="AA27" s="251"/>
      <c r="AB27" s="251"/>
      <c r="AC27" s="251"/>
      <c r="AD27" s="251"/>
      <c r="AE27" s="251"/>
      <c r="AF27" s="252"/>
      <c r="AG27" s="164"/>
      <c r="AH27" s="117"/>
    </row>
    <row r="28" spans="1:34">
      <c r="A28" s="117"/>
      <c r="B28" s="122"/>
      <c r="P28" s="26" t="s">
        <v>1947</v>
      </c>
      <c r="T28" s="26">
        <f>COUNTIFS('2. Status Detalhe Campos'!$H$7:$H$568,'1. Status Resumo'!$P28,'2. Status Detalhe Campos'!$C$7:$C$568,'1. Status Resumo'!$G$22,'2. Status Detalhe Campos'!$D$7:$D$568,"2. Campo")+COUNTIFS('2. Status Detalhe Campos'!$H$7:$H$568,'1. Status Resumo'!$P28,'2. Status Detalhe Campos'!$C$7:$C$568,'1. Status Resumo'!$H$22,'2. Status Detalhe Campos'!$D$7:$D$568,"2. Campo")</f>
        <v>0</v>
      </c>
      <c r="U28" s="26">
        <f>COUNTIFS('2. Status Detalhe Campos'!$G$7:$G$568,'1. Status Resumo'!$P28,'2. Status Detalhe Campos'!$C$7:$C$568,'1. Status Resumo'!$G$22,'2. Status Detalhe Campos'!$D$7:$D$568,"2. Campo")+COUNTIFS('2. Status Detalhe Campos'!$G$7:$G$568,'1. Status Resumo'!$P28,'2. Status Detalhe Campos'!$C$7:$C$568,'1. Status Resumo'!$H$22,'2. Status Detalhe Campos'!$D$7:$D$568,"2. Campo")</f>
        <v>0</v>
      </c>
      <c r="V28" s="26">
        <f t="shared" si="0"/>
        <v>0</v>
      </c>
      <c r="X28" s="250"/>
      <c r="Y28" s="251"/>
      <c r="Z28" s="251"/>
      <c r="AA28" s="251"/>
      <c r="AB28" s="251"/>
      <c r="AC28" s="251"/>
      <c r="AD28" s="251"/>
      <c r="AE28" s="251"/>
      <c r="AF28" s="252"/>
      <c r="AG28" s="164"/>
      <c r="AH28" s="117"/>
    </row>
    <row r="29" spans="1:34">
      <c r="A29" s="117"/>
      <c r="B29" s="122"/>
      <c r="D29" s="222" t="str">
        <f>"# "&amp;U35</f>
        <v># 168</v>
      </c>
      <c r="E29" s="222"/>
      <c r="P29" s="26" t="s">
        <v>1948</v>
      </c>
      <c r="T29" s="26">
        <f>COUNTIFS('2. Status Detalhe Campos'!$H$7:$H$568,'1. Status Resumo'!$P29,'2. Status Detalhe Campos'!$C$7:$C$568,'1. Status Resumo'!$G$22,'2. Status Detalhe Campos'!$D$7:$D$568,"2. Campo")+COUNTIFS('2. Status Detalhe Campos'!$H$7:$H$568,'1. Status Resumo'!$P29,'2. Status Detalhe Campos'!$C$7:$C$568,'1. Status Resumo'!$H$22,'2. Status Detalhe Campos'!$D$7:$D$568,"2. Campo")</f>
        <v>0</v>
      </c>
      <c r="U29" s="26">
        <f>COUNTIFS('2. Status Detalhe Campos'!$G$7:$G$568,'1. Status Resumo'!$P29,'2. Status Detalhe Campos'!$C$7:$C$568,'1. Status Resumo'!$G$22,'2. Status Detalhe Campos'!$D$7:$D$568,"2. Campo")+COUNTIFS('2. Status Detalhe Campos'!$G$7:$G$568,'1. Status Resumo'!$P29,'2. Status Detalhe Campos'!$C$7:$C$568,'1. Status Resumo'!$H$22,'2. Status Detalhe Campos'!$D$7:$D$568,"2. Campo")</f>
        <v>0</v>
      </c>
      <c r="V29" s="26">
        <f t="shared" ref="V29" si="1">U29-T29</f>
        <v>0</v>
      </c>
      <c r="X29" s="250"/>
      <c r="Y29" s="251"/>
      <c r="Z29" s="251"/>
      <c r="AA29" s="251"/>
      <c r="AB29" s="251"/>
      <c r="AC29" s="251"/>
      <c r="AD29" s="251"/>
      <c r="AE29" s="251"/>
      <c r="AF29" s="252"/>
      <c r="AG29" s="164"/>
      <c r="AH29" s="117"/>
    </row>
    <row r="30" spans="1:34" ht="17.7" customHeight="1">
      <c r="A30" s="117"/>
      <c r="B30" s="122"/>
      <c r="D30" s="222"/>
      <c r="E30" s="222"/>
      <c r="P30" s="26" t="s">
        <v>615</v>
      </c>
      <c r="T30" s="26">
        <f>COUNTIFS('2. Status Detalhe Campos'!$H$7:$H$568,'1. Status Resumo'!$P30,'2. Status Detalhe Campos'!$C$7:$C$568,'1. Status Resumo'!$G$22,'2. Status Detalhe Campos'!$D$7:$D$568,"2. Campo")+COUNTIFS('2. Status Detalhe Campos'!$H$7:$H$568,'1. Status Resumo'!$P30,'2. Status Detalhe Campos'!$C$7:$C$568,'1. Status Resumo'!$H$22,'2. Status Detalhe Campos'!$D$7:$D$568,"2. Campo")</f>
        <v>0</v>
      </c>
      <c r="U30" s="26">
        <f>COUNTIFS('2. Status Detalhe Campos'!$G$7:$G$568,'1. Status Resumo'!$P30,'2. Status Detalhe Campos'!$C$7:$C$568,'1. Status Resumo'!$G$22,'2. Status Detalhe Campos'!$D$7:$D$568,"2. Campo")+COUNTIFS('2. Status Detalhe Campos'!$G$7:$G$568,'1. Status Resumo'!$P30,'2. Status Detalhe Campos'!$C$7:$C$568,'1. Status Resumo'!$H$22,'2. Status Detalhe Campos'!$D$7:$D$568,"2. Campo")</f>
        <v>0</v>
      </c>
      <c r="V30" s="26">
        <f t="shared" si="0"/>
        <v>0</v>
      </c>
      <c r="X30" s="250"/>
      <c r="Y30" s="251"/>
      <c r="Z30" s="251"/>
      <c r="AA30" s="251"/>
      <c r="AB30" s="251"/>
      <c r="AC30" s="251"/>
      <c r="AD30" s="251"/>
      <c r="AE30" s="251"/>
      <c r="AF30" s="252"/>
      <c r="AG30" s="164"/>
      <c r="AH30" s="117"/>
    </row>
    <row r="31" spans="1:34" ht="17.7" customHeight="1">
      <c r="A31" s="117"/>
      <c r="B31" s="122"/>
      <c r="D31" s="222"/>
      <c r="E31" s="222"/>
      <c r="P31" s="26" t="s">
        <v>616</v>
      </c>
      <c r="T31" s="26">
        <f>COUNTIFS('2. Status Detalhe Campos'!$H$7:$H$568,'1. Status Resumo'!$P31,'2. Status Detalhe Campos'!$C$7:$C$568,'1. Status Resumo'!$G$22,'2. Status Detalhe Campos'!$D$7:$D$568,"2. Campo")+COUNTIFS('2. Status Detalhe Campos'!$H$7:$H$568,'1. Status Resumo'!$P31,'2. Status Detalhe Campos'!$C$7:$C$568,'1. Status Resumo'!$H$22,'2. Status Detalhe Campos'!$D$7:$D$568,"2. Campo")</f>
        <v>0</v>
      </c>
      <c r="U31" s="26">
        <f>COUNTIFS('2. Status Detalhe Campos'!$G$7:$G$568,'1. Status Resumo'!$P31,'2. Status Detalhe Campos'!$C$7:$C$568,'1. Status Resumo'!$G$22,'2. Status Detalhe Campos'!$D$7:$D$568,"2. Campo")+COUNTIFS('2. Status Detalhe Campos'!$G$7:$G$568,'1. Status Resumo'!$P31,'2. Status Detalhe Campos'!$C$7:$C$568,'1. Status Resumo'!$H$22,'2. Status Detalhe Campos'!$D$7:$D$568,"2. Campo")</f>
        <v>0</v>
      </c>
      <c r="V31" s="26">
        <f t="shared" si="0"/>
        <v>0</v>
      </c>
      <c r="X31" s="250"/>
      <c r="Y31" s="251"/>
      <c r="Z31" s="251"/>
      <c r="AA31" s="251"/>
      <c r="AB31" s="251"/>
      <c r="AC31" s="251"/>
      <c r="AD31" s="251"/>
      <c r="AE31" s="251"/>
      <c r="AF31" s="252"/>
      <c r="AG31" s="164"/>
      <c r="AH31" s="117"/>
    </row>
    <row r="32" spans="1:34">
      <c r="A32" s="117"/>
      <c r="B32" s="122"/>
      <c r="P32" s="26" t="s">
        <v>617</v>
      </c>
      <c r="R32" s="26" t="s">
        <v>618</v>
      </c>
      <c r="T32" s="26">
        <f>COUNTIFS('2. Status Detalhe Campos'!$H$7:$H$568,'1. Status Resumo'!$P32,'2. Status Detalhe Campos'!$C$7:$C$568,'1. Status Resumo'!$G$22,'2. Status Detalhe Campos'!$D$7:$D$568,"2. Campo")+COUNTIFS('2. Status Detalhe Campos'!$H$7:$H$568,'1. Status Resumo'!$P32,'2. Status Detalhe Campos'!$C$7:$C$568,'1. Status Resumo'!$H$22,'2. Status Detalhe Campos'!$D$7:$D$568,"2. Campo")</f>
        <v>0</v>
      </c>
      <c r="U32" s="26">
        <f>COUNTIFS('2. Status Detalhe Campos'!$G$7:$G$568,'1. Status Resumo'!$P32,'2. Status Detalhe Campos'!$C$7:$C$568,'1. Status Resumo'!$G$22,'2. Status Detalhe Campos'!$D$7:$D$568,"2. Campo")+COUNTIFS('2. Status Detalhe Campos'!$G$7:$G$568,'1. Status Resumo'!$P32,'2. Status Detalhe Campos'!$C$7:$C$568,'1. Status Resumo'!$H$22,'2. Status Detalhe Campos'!$D$7:$D$568,"2. Campo")</f>
        <v>0</v>
      </c>
      <c r="V32" s="26">
        <f t="shared" si="0"/>
        <v>0</v>
      </c>
      <c r="X32" s="250"/>
      <c r="Y32" s="251"/>
      <c r="Z32" s="251"/>
      <c r="AA32" s="251"/>
      <c r="AB32" s="251"/>
      <c r="AC32" s="251"/>
      <c r="AD32" s="251"/>
      <c r="AE32" s="251"/>
      <c r="AF32" s="252"/>
      <c r="AG32" s="164"/>
      <c r="AH32" s="117"/>
    </row>
    <row r="33" spans="1:34">
      <c r="A33" s="117"/>
      <c r="B33" s="122"/>
      <c r="P33" s="26" t="s">
        <v>619</v>
      </c>
      <c r="T33" s="26">
        <f>COUNTIFS('2. Status Detalhe Campos'!$H$7:$H$568,'1. Status Resumo'!$P33,'2. Status Detalhe Campos'!$C$7:$C$568,'1. Status Resumo'!$G$22,'2. Status Detalhe Campos'!$D$7:$D$568,"2. Campo")+COUNTIFS('2. Status Detalhe Campos'!$H$7:$H$568,'1. Status Resumo'!$P33,'2. Status Detalhe Campos'!$C$7:$C$568,'1. Status Resumo'!$H$22,'2. Status Detalhe Campos'!$D$7:$D$568,"2. Campo")</f>
        <v>34</v>
      </c>
      <c r="U33" s="26">
        <f>COUNTIFS('2. Status Detalhe Campos'!$G$7:$G$568,'1. Status Resumo'!$P33,'2. Status Detalhe Campos'!$C$7:$C$568,'1. Status Resumo'!$G$22,'2. Status Detalhe Campos'!$D$7:$D$568,"2. Campo")+COUNTIFS('2. Status Detalhe Campos'!$G$7:$G$568,'1. Status Resumo'!$P33,'2. Status Detalhe Campos'!$C$7:$C$568,'1. Status Resumo'!$H$22,'2. Status Detalhe Campos'!$D$7:$D$568,"2. Campo")</f>
        <v>34</v>
      </c>
      <c r="V33" s="26">
        <f t="shared" si="0"/>
        <v>0</v>
      </c>
      <c r="X33" s="250"/>
      <c r="Y33" s="251"/>
      <c r="Z33" s="251"/>
      <c r="AA33" s="251"/>
      <c r="AB33" s="251"/>
      <c r="AC33" s="251"/>
      <c r="AD33" s="251"/>
      <c r="AE33" s="251"/>
      <c r="AF33" s="252"/>
      <c r="AG33" s="164"/>
      <c r="AH33" s="117"/>
    </row>
    <row r="34" spans="1:34">
      <c r="A34" s="117"/>
      <c r="B34" s="122"/>
      <c r="P34" s="26" t="s">
        <v>28</v>
      </c>
      <c r="T34" s="26">
        <f>COUNTIFS('2. Status Detalhe Campos'!$H$7:$H$568,'1. Status Resumo'!$P34,'2. Status Detalhe Campos'!$C$7:$C$568,'1. Status Resumo'!$G$22,'2. Status Detalhe Campos'!$D$7:$D$568,"2. Campo")+COUNTIFS('2. Status Detalhe Campos'!$H$7:$H$568,'1. Status Resumo'!$P34,'2. Status Detalhe Campos'!$C$7:$C$568,'1. Status Resumo'!$H$22,'2. Status Detalhe Campos'!$D$7:$D$568,"2. Campo")</f>
        <v>0</v>
      </c>
      <c r="U34" s="26">
        <f>COUNTIFS('2. Status Detalhe Campos'!$G$7:$G$568,'1. Status Resumo'!$P34,'2. Status Detalhe Campos'!$C$7:$C$568,'1. Status Resumo'!$G$22,'2. Status Detalhe Campos'!$D$7:$D$568,"2. Campo")+COUNTIFS('2. Status Detalhe Campos'!$G$7:$G$568,'1. Status Resumo'!$P34,'2. Status Detalhe Campos'!$C$7:$C$568,'1. Status Resumo'!$H$22,'2. Status Detalhe Campos'!$D$7:$D$568,"2. Campo")</f>
        <v>0</v>
      </c>
      <c r="V34" s="26">
        <f t="shared" si="0"/>
        <v>0</v>
      </c>
      <c r="X34" s="250"/>
      <c r="Y34" s="251"/>
      <c r="Z34" s="251"/>
      <c r="AA34" s="251"/>
      <c r="AB34" s="251"/>
      <c r="AC34" s="251"/>
      <c r="AD34" s="251"/>
      <c r="AE34" s="251"/>
      <c r="AF34" s="252"/>
      <c r="AG34" s="164"/>
      <c r="AH34" s="117"/>
    </row>
    <row r="35" spans="1:34">
      <c r="A35" s="117"/>
      <c r="B35" s="122"/>
      <c r="T35" s="128">
        <f>SUM(T26:T34)</f>
        <v>168</v>
      </c>
      <c r="U35" s="128">
        <f>SUM(U26:U34)</f>
        <v>168</v>
      </c>
      <c r="X35" s="250"/>
      <c r="Y35" s="251"/>
      <c r="Z35" s="251"/>
      <c r="AA35" s="251"/>
      <c r="AB35" s="251"/>
      <c r="AC35" s="251"/>
      <c r="AD35" s="251"/>
      <c r="AE35" s="251"/>
      <c r="AF35" s="252"/>
      <c r="AG35" s="164"/>
      <c r="AH35" s="117"/>
    </row>
    <row r="36" spans="1:34">
      <c r="A36" s="117"/>
      <c r="B36" s="122"/>
      <c r="G36" s="130" t="s">
        <v>620</v>
      </c>
      <c r="H36" s="131"/>
      <c r="I36" s="131"/>
      <c r="J36" s="131"/>
      <c r="K36" s="131"/>
      <c r="L36" s="131"/>
      <c r="M36" s="131"/>
      <c r="P36" s="130" t="s">
        <v>621</v>
      </c>
      <c r="Q36" s="131"/>
      <c r="R36" s="131"/>
      <c r="S36" s="131"/>
      <c r="T36" s="131"/>
      <c r="U36" s="131"/>
      <c r="V36" s="131"/>
      <c r="X36" s="250"/>
      <c r="Y36" s="251"/>
      <c r="Z36" s="251"/>
      <c r="AA36" s="251"/>
      <c r="AB36" s="251"/>
      <c r="AC36" s="251"/>
      <c r="AD36" s="251"/>
      <c r="AE36" s="251"/>
      <c r="AF36" s="252"/>
      <c r="AG36" s="164"/>
      <c r="AH36" s="117"/>
    </row>
    <row r="37" spans="1:34">
      <c r="A37" s="117"/>
      <c r="B37" s="122"/>
      <c r="F37" s="160" t="s">
        <v>622</v>
      </c>
      <c r="G37" s="26" t="s">
        <v>623</v>
      </c>
      <c r="L37" s="162" t="s">
        <v>624</v>
      </c>
      <c r="O37" s="160" t="s">
        <v>622</v>
      </c>
      <c r="P37" s="26" t="s">
        <v>625</v>
      </c>
      <c r="T37" s="162" t="s">
        <v>624</v>
      </c>
      <c r="X37" s="250"/>
      <c r="Y37" s="251"/>
      <c r="Z37" s="251"/>
      <c r="AA37" s="251"/>
      <c r="AB37" s="251"/>
      <c r="AC37" s="251"/>
      <c r="AD37" s="251"/>
      <c r="AE37" s="251"/>
      <c r="AF37" s="252"/>
      <c r="AG37" s="164"/>
      <c r="AH37" s="117"/>
    </row>
    <row r="38" spans="1:34">
      <c r="A38" s="117"/>
      <c r="B38" s="122"/>
      <c r="F38" s="160" t="s">
        <v>622</v>
      </c>
      <c r="G38" s="26" t="s">
        <v>626</v>
      </c>
      <c r="L38" s="162" t="s">
        <v>624</v>
      </c>
      <c r="O38" s="160" t="s">
        <v>622</v>
      </c>
      <c r="P38" s="26" t="s">
        <v>627</v>
      </c>
      <c r="T38" s="162" t="s">
        <v>624</v>
      </c>
      <c r="X38" s="250"/>
      <c r="Y38" s="251"/>
      <c r="Z38" s="251"/>
      <c r="AA38" s="251"/>
      <c r="AB38" s="251"/>
      <c r="AC38" s="251"/>
      <c r="AD38" s="251"/>
      <c r="AE38" s="251"/>
      <c r="AF38" s="252"/>
      <c r="AG38" s="164"/>
      <c r="AH38" s="117"/>
    </row>
    <row r="39" spans="1:34">
      <c r="A39" s="117"/>
      <c r="B39" s="122"/>
      <c r="F39" s="160" t="s">
        <v>622</v>
      </c>
      <c r="G39" s="26" t="s">
        <v>628</v>
      </c>
      <c r="L39" s="162" t="s">
        <v>624</v>
      </c>
      <c r="O39" s="160" t="s">
        <v>622</v>
      </c>
      <c r="P39" s="26" t="s">
        <v>629</v>
      </c>
      <c r="T39" s="165" t="s">
        <v>630</v>
      </c>
      <c r="X39" s="250"/>
      <c r="Y39" s="251"/>
      <c r="Z39" s="251"/>
      <c r="AA39" s="251"/>
      <c r="AB39" s="251"/>
      <c r="AC39" s="251"/>
      <c r="AD39" s="251"/>
      <c r="AE39" s="251"/>
      <c r="AF39" s="252"/>
      <c r="AG39" s="164"/>
      <c r="AH39" s="117"/>
    </row>
    <row r="40" spans="1:34">
      <c r="A40" s="117"/>
      <c r="B40" s="122"/>
      <c r="F40" s="160" t="s">
        <v>622</v>
      </c>
      <c r="G40" s="26" t="s">
        <v>631</v>
      </c>
      <c r="L40" s="162" t="s">
        <v>624</v>
      </c>
      <c r="O40" s="160"/>
      <c r="T40" s="165"/>
      <c r="X40" s="250"/>
      <c r="Y40" s="251"/>
      <c r="Z40" s="251"/>
      <c r="AA40" s="251"/>
      <c r="AB40" s="251"/>
      <c r="AC40" s="251"/>
      <c r="AD40" s="251"/>
      <c r="AE40" s="251"/>
      <c r="AF40" s="252"/>
      <c r="AG40" s="164"/>
      <c r="AH40" s="117"/>
    </row>
    <row r="41" spans="1:34">
      <c r="A41" s="117"/>
      <c r="B41" s="122"/>
      <c r="F41" s="160" t="s">
        <v>622</v>
      </c>
      <c r="G41" s="26" t="s">
        <v>632</v>
      </c>
      <c r="L41" s="166" t="s">
        <v>633</v>
      </c>
      <c r="O41" s="160"/>
      <c r="T41" s="165"/>
      <c r="X41" s="250"/>
      <c r="Y41" s="251"/>
      <c r="Z41" s="251"/>
      <c r="AA41" s="251"/>
      <c r="AB41" s="251"/>
      <c r="AC41" s="251"/>
      <c r="AD41" s="251"/>
      <c r="AE41" s="251"/>
      <c r="AF41" s="252"/>
      <c r="AG41" s="164"/>
      <c r="AH41" s="117"/>
    </row>
    <row r="42" spans="1:34">
      <c r="A42" s="117"/>
      <c r="B42" s="122"/>
      <c r="F42" s="160" t="s">
        <v>622</v>
      </c>
      <c r="G42" s="26" t="s">
        <v>634</v>
      </c>
      <c r="L42" s="166" t="s">
        <v>633</v>
      </c>
      <c r="O42" s="160"/>
      <c r="T42" s="162"/>
      <c r="X42" s="250"/>
      <c r="Y42" s="251"/>
      <c r="Z42" s="251"/>
      <c r="AA42" s="251"/>
      <c r="AB42" s="251"/>
      <c r="AC42" s="251"/>
      <c r="AD42" s="251"/>
      <c r="AE42" s="251"/>
      <c r="AF42" s="252"/>
      <c r="AG42" s="164"/>
      <c r="AH42" s="117"/>
    </row>
    <row r="43" spans="1:34">
      <c r="A43" s="117"/>
      <c r="B43" s="122"/>
      <c r="O43" s="160"/>
      <c r="X43" s="253"/>
      <c r="Y43" s="254"/>
      <c r="Z43" s="254"/>
      <c r="AA43" s="254"/>
      <c r="AB43" s="254"/>
      <c r="AC43" s="254"/>
      <c r="AD43" s="254"/>
      <c r="AE43" s="254"/>
      <c r="AF43" s="255"/>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45595</v>
      </c>
      <c r="V51" s="133" t="s">
        <v>611</v>
      </c>
      <c r="X51" s="156" t="s">
        <v>612</v>
      </c>
      <c r="AG51" s="123"/>
      <c r="AH51" s="117"/>
    </row>
    <row r="52" spans="1:34" ht="17.7" customHeight="1">
      <c r="A52" s="117"/>
      <c r="B52" s="122"/>
      <c r="P52" s="26" t="s">
        <v>613</v>
      </c>
      <c r="T52" s="26">
        <f>COUNTIFS('2. Status Detalhe Campos'!$H$7:$H$568,'1. Status Resumo'!$P52,'2. Status Detalhe Campos'!$C$7:$C$568,'1. Status Resumo'!$G$48,'2. Status Detalhe Campos'!$D$7:$D$568,"2. Campo")+COUNTIFS('2. Status Detalhe Campos'!$H$7:$H$568,'1. Status Resumo'!$P52,'2. Status Detalhe Campos'!$C$7:$C$568,'1. Status Resumo'!$H$48,'2. Status Detalhe Campos'!$D$7:$D$568,"2. Campo")</f>
        <v>14</v>
      </c>
      <c r="U52" s="26">
        <f>COUNTIFS('2. Status Detalhe Campos'!$G$7:$G$568,'1. Status Resumo'!$P52,'2. Status Detalhe Campos'!$C$7:$C$568,'1. Status Resumo'!$G$48,'2. Status Detalhe Campos'!$D$7:$D$568,"2. Campo")+COUNTIFS('2. Status Detalhe Campos'!$G$7:$G$568,'1. Status Resumo'!$P52,'2. Status Detalhe Campos'!$C$7:$C$568,'1. Status Resumo'!$H$48,'2. Status Detalhe Campos'!$D$7:$D$568,"2. Campo")</f>
        <v>14</v>
      </c>
      <c r="V52" s="26">
        <f>U52-T52</f>
        <v>0</v>
      </c>
      <c r="W52" s="157"/>
      <c r="X52" s="238" t="s">
        <v>1963</v>
      </c>
      <c r="Y52" s="239"/>
      <c r="Z52" s="239"/>
      <c r="AA52" s="239"/>
      <c r="AB52" s="239"/>
      <c r="AC52" s="239"/>
      <c r="AD52" s="239"/>
      <c r="AE52" s="239"/>
      <c r="AF52" s="240"/>
      <c r="AG52" s="158" t="s">
        <v>636</v>
      </c>
      <c r="AH52" s="117"/>
    </row>
    <row r="53" spans="1:34">
      <c r="A53" s="117"/>
      <c r="B53" s="122"/>
      <c r="P53" s="26" t="s">
        <v>614</v>
      </c>
      <c r="T53" s="26">
        <f>COUNTIFS('2. Status Detalhe Campos'!$H$7:$H$568,'1. Status Resumo'!$P53,'2. Status Detalhe Campos'!$C$7:$C$568,'1. Status Resumo'!$G$48,'2. Status Detalhe Campos'!$D$7:$D$568,"2. Campo")+COUNTIFS('2. Status Detalhe Campos'!$H$7:$H$568,'1. Status Resumo'!$P53,'2. Status Detalhe Campos'!$C$7:$C$568,'1. Status Resumo'!$H$48,'2. Status Detalhe Campos'!$D$7:$D$568,"2. Campo")</f>
        <v>154</v>
      </c>
      <c r="U53" s="26">
        <f>COUNTIFS('2. Status Detalhe Campos'!$G$7:$G$568,'1. Status Resumo'!$P53,'2. Status Detalhe Campos'!$C$7:$C$568,'1. Status Resumo'!$G$48,'2. Status Detalhe Campos'!$D$7:$D$568,"2. Campo")+COUNTIFS('2. Status Detalhe Campos'!$G$7:$G$568,'1. Status Resumo'!$P53,'2. Status Detalhe Campos'!$C$7:$C$568,'1. Status Resumo'!$H$48,'2. Status Detalhe Campos'!$D$7:$D$568,"2. Campo")</f>
        <v>154</v>
      </c>
      <c r="V53" s="26">
        <f t="shared" ref="V53:V60" si="2">U53-T53</f>
        <v>0</v>
      </c>
      <c r="W53" s="157"/>
      <c r="X53" s="241"/>
      <c r="Y53" s="242"/>
      <c r="Z53" s="242"/>
      <c r="AA53" s="242"/>
      <c r="AB53" s="242"/>
      <c r="AC53" s="242"/>
      <c r="AD53" s="242"/>
      <c r="AE53" s="242"/>
      <c r="AF53" s="243"/>
      <c r="AG53" s="158"/>
      <c r="AH53" s="117"/>
    </row>
    <row r="54" spans="1:34">
      <c r="A54" s="117"/>
      <c r="B54" s="122"/>
      <c r="P54" s="26" t="s">
        <v>1947</v>
      </c>
      <c r="T54" s="26">
        <f>COUNTIFS('2. Status Detalhe Campos'!$H$7:$H$568,'1. Status Resumo'!$P54,'2. Status Detalhe Campos'!$C$7:$C$568,'1. Status Resumo'!$G$48,'2. Status Detalhe Campos'!$D$7:$D$568,"2. Campo")+COUNTIFS('2. Status Detalhe Campos'!$H$7:$H$568,'1. Status Resumo'!$P54,'2. Status Detalhe Campos'!$C$7:$C$568,'1. Status Resumo'!$H$48,'2. Status Detalhe Campos'!$D$7:$D$568,"2. Campo")</f>
        <v>0</v>
      </c>
      <c r="U54" s="26">
        <f>COUNTIFS('2. Status Detalhe Campos'!$G$7:$G$568,'1. Status Resumo'!$P54,'2. Status Detalhe Campos'!$C$7:$C$568,'1. Status Resumo'!$G$48,'2. Status Detalhe Campos'!$D$7:$D$568,"2. Campo")+COUNTIFS('2. Status Detalhe Campos'!$G$7:$G$568,'1. Status Resumo'!$P54,'2. Status Detalhe Campos'!$C$7:$C$568,'1. Status Resumo'!$H$48,'2. Status Detalhe Campos'!$D$7:$D$568,"2. Campo")</f>
        <v>0</v>
      </c>
      <c r="V54" s="26">
        <f t="shared" si="2"/>
        <v>0</v>
      </c>
      <c r="W54" s="157"/>
      <c r="X54" s="241"/>
      <c r="Y54" s="242"/>
      <c r="Z54" s="242"/>
      <c r="AA54" s="242"/>
      <c r="AB54" s="242"/>
      <c r="AC54" s="242"/>
      <c r="AD54" s="242"/>
      <c r="AE54" s="242"/>
      <c r="AF54" s="243"/>
      <c r="AG54" s="158"/>
      <c r="AH54" s="117"/>
    </row>
    <row r="55" spans="1:34">
      <c r="A55" s="117"/>
      <c r="B55" s="122"/>
      <c r="D55" s="222" t="str">
        <f>"# "&amp;U61</f>
        <v># 245</v>
      </c>
      <c r="E55" s="222"/>
      <c r="P55" s="26" t="s">
        <v>1948</v>
      </c>
      <c r="T55" s="26">
        <f>COUNTIFS('2. Status Detalhe Campos'!$H$7:$H$568,'1. Status Resumo'!$P55,'2. Status Detalhe Campos'!$C$7:$C$568,'1. Status Resumo'!$G$48,'2. Status Detalhe Campos'!$D$7:$D$568,"2. Campo")+COUNTIFS('2. Status Detalhe Campos'!$H$7:$H$568,'1. Status Resumo'!$P55,'2. Status Detalhe Campos'!$C$7:$C$568,'1. Status Resumo'!$H$48,'2. Status Detalhe Campos'!$D$7:$D$568,"2. Campo")</f>
        <v>0</v>
      </c>
      <c r="U55" s="26">
        <f>COUNTIFS('2. Status Detalhe Campos'!$G$7:$G$568,'1. Status Resumo'!$P55,'2. Status Detalhe Campos'!$C$7:$C$568,'1. Status Resumo'!$G$48,'2. Status Detalhe Campos'!$D$7:$D$568,"2. Campo")+COUNTIFS('2. Status Detalhe Campos'!$G$7:$G$568,'1. Status Resumo'!$P55,'2. Status Detalhe Campos'!$C$7:$C$568,'1. Status Resumo'!$H$48,'2. Status Detalhe Campos'!$D$7:$D$568,"2. Campo")</f>
        <v>0</v>
      </c>
      <c r="V55" s="26">
        <f t="shared" ref="V55" si="3">U55-T55</f>
        <v>0</v>
      </c>
      <c r="W55" s="157"/>
      <c r="X55" s="241"/>
      <c r="Y55" s="242"/>
      <c r="Z55" s="242"/>
      <c r="AA55" s="242"/>
      <c r="AB55" s="242"/>
      <c r="AC55" s="242"/>
      <c r="AD55" s="242"/>
      <c r="AE55" s="242"/>
      <c r="AF55" s="243"/>
      <c r="AG55" s="158"/>
      <c r="AH55" s="117"/>
    </row>
    <row r="56" spans="1:34" ht="17.7" customHeight="1">
      <c r="A56" s="117"/>
      <c r="B56" s="122"/>
      <c r="D56" s="222"/>
      <c r="E56" s="222"/>
      <c r="P56" s="26" t="s">
        <v>615</v>
      </c>
      <c r="T56" s="26">
        <f>COUNTIFS('2. Status Detalhe Campos'!$H$7:$H$568,'1. Status Resumo'!$P56,'2. Status Detalhe Campos'!$C$7:$C$568,'1. Status Resumo'!$G$48,'2. Status Detalhe Campos'!$D$7:$D$568,"2. Campo")+COUNTIFS('2. Status Detalhe Campos'!$H$7:$H$568,'1. Status Resumo'!$P56,'2. Status Detalhe Campos'!$C$7:$C$568,'1. Status Resumo'!$H$48,'2. Status Detalhe Campos'!$D$7:$D$568,"2. Campo")</f>
        <v>0</v>
      </c>
      <c r="U56" s="26">
        <f>COUNTIFS('2. Status Detalhe Campos'!$G$7:$G$568,'1. Status Resumo'!$P56,'2. Status Detalhe Campos'!$C$7:$C$568,'1. Status Resumo'!$G$48,'2. Status Detalhe Campos'!$D$7:$D$568,"2. Campo")+COUNTIFS('2. Status Detalhe Campos'!$G$7:$G$568,'1. Status Resumo'!$P56,'2. Status Detalhe Campos'!$C$7:$C$568,'1. Status Resumo'!$H$48,'2. Status Detalhe Campos'!$D$7:$D$568,"2. Campo")</f>
        <v>0</v>
      </c>
      <c r="V56" s="26">
        <f t="shared" si="2"/>
        <v>0</v>
      </c>
      <c r="W56" s="157"/>
      <c r="X56" s="241"/>
      <c r="Y56" s="242"/>
      <c r="Z56" s="242"/>
      <c r="AA56" s="242"/>
      <c r="AB56" s="242"/>
      <c r="AC56" s="242"/>
      <c r="AD56" s="242"/>
      <c r="AE56" s="242"/>
      <c r="AF56" s="243"/>
      <c r="AG56" s="158"/>
      <c r="AH56" s="117"/>
    </row>
    <row r="57" spans="1:34" ht="17.7" customHeight="1">
      <c r="A57" s="117"/>
      <c r="B57" s="122"/>
      <c r="D57" s="222"/>
      <c r="E57" s="222"/>
      <c r="P57" s="26" t="s">
        <v>616</v>
      </c>
      <c r="T57" s="26">
        <f>COUNTIFS('2. Status Detalhe Campos'!$H$7:$H$568,'1. Status Resumo'!$P57,'2. Status Detalhe Campos'!$C$7:$C$568,'1. Status Resumo'!$G$48,'2. Status Detalhe Campos'!$D$7:$D$568,"2. Campo")+COUNTIFS('2. Status Detalhe Campos'!$H$7:$H$568,'1. Status Resumo'!$P57,'2. Status Detalhe Campos'!$C$7:$C$568,'1. Status Resumo'!$H$48,'2. Status Detalhe Campos'!$D$7:$D$568,"2. Campo")</f>
        <v>0</v>
      </c>
      <c r="U57" s="26">
        <f>COUNTIFS('2. Status Detalhe Campos'!$G$7:$G$568,'1. Status Resumo'!$P57,'2. Status Detalhe Campos'!$C$7:$C$568,'1. Status Resumo'!$G$48,'2. Status Detalhe Campos'!$D$7:$D$568,"2. Campo")+COUNTIFS('2. Status Detalhe Campos'!$G$7:$G$568,'1. Status Resumo'!$P57,'2. Status Detalhe Campos'!$C$7:$C$568,'1. Status Resumo'!$H$48,'2. Status Detalhe Campos'!$D$7:$D$568,"2. Campo")</f>
        <v>0</v>
      </c>
      <c r="V57" s="26">
        <f t="shared" si="2"/>
        <v>0</v>
      </c>
      <c r="W57" s="157"/>
      <c r="X57" s="241"/>
      <c r="Y57" s="242"/>
      <c r="Z57" s="242"/>
      <c r="AA57" s="242"/>
      <c r="AB57" s="242"/>
      <c r="AC57" s="242"/>
      <c r="AD57" s="242"/>
      <c r="AE57" s="242"/>
      <c r="AF57" s="243"/>
      <c r="AG57" s="158"/>
      <c r="AH57" s="117"/>
    </row>
    <row r="58" spans="1:34" ht="17.7" customHeight="1">
      <c r="A58" s="117"/>
      <c r="B58" s="122"/>
      <c r="P58" s="26" t="s">
        <v>617</v>
      </c>
      <c r="R58" s="26" t="s">
        <v>618</v>
      </c>
      <c r="T58" s="26">
        <f>COUNTIFS('2. Status Detalhe Campos'!$H$7:$H$568,'1. Status Resumo'!$P58,'2. Status Detalhe Campos'!$C$7:$C$568,'1. Status Resumo'!$G$48,'2. Status Detalhe Campos'!$D$7:$D$568,"2. Campo")+COUNTIFS('2. Status Detalhe Campos'!$H$7:$H$568,'1. Status Resumo'!$P58,'2. Status Detalhe Campos'!$C$7:$C$568,'1. Status Resumo'!$H$48,'2. Status Detalhe Campos'!$D$7:$D$568,"2. Campo")</f>
        <v>2</v>
      </c>
      <c r="U58" s="26">
        <f>COUNTIFS('2. Status Detalhe Campos'!$G$7:$G$568,'1. Status Resumo'!$P58,'2. Status Detalhe Campos'!$C$7:$C$568,'1. Status Resumo'!$G$48,'2. Status Detalhe Campos'!$D$7:$D$568,"2. Campo")+COUNTIFS('2. Status Detalhe Campos'!$G$7:$G$568,'1. Status Resumo'!$P58,'2. Status Detalhe Campos'!$C$7:$C$568,'1. Status Resumo'!$H$48,'2. Status Detalhe Campos'!$D$7:$D$568,"2. Campo")</f>
        <v>2</v>
      </c>
      <c r="V58" s="26">
        <f t="shared" si="2"/>
        <v>0</v>
      </c>
      <c r="W58" s="157"/>
      <c r="X58" s="241"/>
      <c r="Y58" s="242"/>
      <c r="Z58" s="242"/>
      <c r="AA58" s="242"/>
      <c r="AB58" s="242"/>
      <c r="AC58" s="242"/>
      <c r="AD58" s="242"/>
      <c r="AE58" s="242"/>
      <c r="AF58" s="243"/>
      <c r="AG58" s="158"/>
      <c r="AH58" s="117"/>
    </row>
    <row r="59" spans="1:34">
      <c r="A59" s="117"/>
      <c r="B59" s="122"/>
      <c r="P59" s="26" t="s">
        <v>619</v>
      </c>
      <c r="T59" s="26">
        <f>COUNTIFS('2. Status Detalhe Campos'!$H$7:$H$568,'1. Status Resumo'!$P59,'2. Status Detalhe Campos'!$C$7:$C$568,'1. Status Resumo'!$G$48,'2. Status Detalhe Campos'!$D$7:$D$568,"2. Campo")+COUNTIFS('2. Status Detalhe Campos'!$H$7:$H$568,'1. Status Resumo'!$P59,'2. Status Detalhe Campos'!$C$7:$C$568,'1. Status Resumo'!$H$48,'2. Status Detalhe Campos'!$D$7:$D$568,"2. Campo")</f>
        <v>75</v>
      </c>
      <c r="U59" s="26">
        <f>COUNTIFS('2. Status Detalhe Campos'!$G$7:$G$568,'1. Status Resumo'!$P59,'2. Status Detalhe Campos'!$C$7:$C$568,'1. Status Resumo'!$G$48,'2. Status Detalhe Campos'!$D$7:$D$568,"2. Campo")+COUNTIFS('2. Status Detalhe Campos'!$G$7:$G$568,'1. Status Resumo'!$P59,'2. Status Detalhe Campos'!$C$7:$C$568,'1. Status Resumo'!$H$48,'2. Status Detalhe Campos'!$D$7:$D$568,"2. Campo")</f>
        <v>75</v>
      </c>
      <c r="V59" s="26">
        <f t="shared" si="2"/>
        <v>0</v>
      </c>
      <c r="X59" s="241"/>
      <c r="Y59" s="242"/>
      <c r="Z59" s="242"/>
      <c r="AA59" s="242"/>
      <c r="AB59" s="242"/>
      <c r="AC59" s="242"/>
      <c r="AD59" s="242"/>
      <c r="AE59" s="242"/>
      <c r="AF59" s="243"/>
      <c r="AG59" s="158"/>
      <c r="AH59" s="117"/>
    </row>
    <row r="60" spans="1:34">
      <c r="A60" s="117"/>
      <c r="B60" s="122"/>
      <c r="P60" s="26" t="s">
        <v>28</v>
      </c>
      <c r="T60" s="26">
        <f>COUNTIFS('2. Status Detalhe Campos'!$H$7:$H$568,'1. Status Resumo'!$P60,'2. Status Detalhe Campos'!$C$7:$C$568,'1. Status Resumo'!$G$48,'2. Status Detalhe Campos'!$D$7:$D$568,"2. Campo")+COUNTIFS('2. Status Detalhe Campos'!$H$7:$H$568,'1. Status Resumo'!$P60,'2. Status Detalhe Campos'!$C$7:$C$568,'1. Status Resumo'!$H$48,'2. Status Detalhe Campos'!$D$7:$D$568,"2. Campo")</f>
        <v>0</v>
      </c>
      <c r="U60" s="26">
        <f>COUNTIFS('2. Status Detalhe Campos'!$G$7:$G$568,'1. Status Resumo'!$P60,'2. Status Detalhe Campos'!$C$7:$C$568,'1. Status Resumo'!$G$48,'2. Status Detalhe Campos'!$D$7:$D$568,"2. Campo")+COUNTIFS('2. Status Detalhe Campos'!$G$7:$G$568,'1. Status Resumo'!$P60,'2. Status Detalhe Campos'!$C$7:$C$568,'1. Status Resumo'!$H$48,'2. Status Detalhe Campos'!$D$7:$D$568,"2. Campo")</f>
        <v>0</v>
      </c>
      <c r="V60" s="26">
        <f t="shared" si="2"/>
        <v>0</v>
      </c>
      <c r="X60" s="241"/>
      <c r="Y60" s="242"/>
      <c r="Z60" s="242"/>
      <c r="AA60" s="242"/>
      <c r="AB60" s="242"/>
      <c r="AC60" s="242"/>
      <c r="AD60" s="242"/>
      <c r="AE60" s="242"/>
      <c r="AF60" s="243"/>
      <c r="AG60" s="158"/>
      <c r="AH60" s="117"/>
    </row>
    <row r="61" spans="1:34">
      <c r="A61" s="117"/>
      <c r="B61" s="122"/>
      <c r="T61" s="128">
        <f>SUM(T52:T60)</f>
        <v>245</v>
      </c>
      <c r="U61" s="128">
        <f>SUM(U52:U60)</f>
        <v>245</v>
      </c>
      <c r="X61" s="241"/>
      <c r="Y61" s="242"/>
      <c r="Z61" s="242"/>
      <c r="AA61" s="242"/>
      <c r="AB61" s="242"/>
      <c r="AC61" s="242"/>
      <c r="AD61" s="242"/>
      <c r="AE61" s="242"/>
      <c r="AF61" s="243"/>
      <c r="AG61" s="158"/>
      <c r="AH61" s="117"/>
    </row>
    <row r="62" spans="1:34">
      <c r="A62" s="117"/>
      <c r="B62" s="122"/>
      <c r="X62" s="241"/>
      <c r="Y62" s="242"/>
      <c r="Z62" s="242"/>
      <c r="AA62" s="242"/>
      <c r="AB62" s="242"/>
      <c r="AC62" s="242"/>
      <c r="AD62" s="242"/>
      <c r="AE62" s="242"/>
      <c r="AF62" s="243"/>
      <c r="AG62" s="158"/>
      <c r="AH62" s="117"/>
    </row>
    <row r="63" spans="1:34">
      <c r="A63" s="117"/>
      <c r="B63" s="122"/>
      <c r="P63" s="130" t="s">
        <v>637</v>
      </c>
      <c r="Q63" s="131"/>
      <c r="R63" s="131"/>
      <c r="S63" s="131"/>
      <c r="T63" s="131"/>
      <c r="U63" s="131"/>
      <c r="V63" s="131"/>
      <c r="X63" s="241"/>
      <c r="Y63" s="242"/>
      <c r="Z63" s="242"/>
      <c r="AA63" s="242"/>
      <c r="AB63" s="242"/>
      <c r="AC63" s="242"/>
      <c r="AD63" s="242"/>
      <c r="AE63" s="242"/>
      <c r="AF63" s="243"/>
      <c r="AG63" s="158"/>
      <c r="AH63" s="117"/>
    </row>
    <row r="64" spans="1:34">
      <c r="A64" s="117"/>
      <c r="B64" s="122"/>
      <c r="O64" s="160" t="s">
        <v>622</v>
      </c>
      <c r="P64" s="26" t="s">
        <v>217</v>
      </c>
      <c r="T64" s="162" t="s">
        <v>624</v>
      </c>
      <c r="X64" s="241"/>
      <c r="Y64" s="242"/>
      <c r="Z64" s="242"/>
      <c r="AA64" s="242"/>
      <c r="AB64" s="242"/>
      <c r="AC64" s="242"/>
      <c r="AD64" s="242"/>
      <c r="AE64" s="242"/>
      <c r="AF64" s="243"/>
      <c r="AG64" s="158"/>
      <c r="AH64" s="117"/>
    </row>
    <row r="65" spans="1:34">
      <c r="A65" s="117"/>
      <c r="B65" s="122"/>
      <c r="O65" s="160" t="s">
        <v>622</v>
      </c>
      <c r="P65" s="26" t="s">
        <v>216</v>
      </c>
      <c r="T65" s="162" t="s">
        <v>624</v>
      </c>
      <c r="X65" s="241"/>
      <c r="Y65" s="242"/>
      <c r="Z65" s="242"/>
      <c r="AA65" s="242"/>
      <c r="AB65" s="242"/>
      <c r="AC65" s="242"/>
      <c r="AD65" s="242"/>
      <c r="AE65" s="242"/>
      <c r="AF65" s="243"/>
      <c r="AG65" s="158"/>
      <c r="AH65" s="117"/>
    </row>
    <row r="66" spans="1:34">
      <c r="A66" s="117"/>
      <c r="B66" s="122"/>
      <c r="O66" s="160" t="s">
        <v>622</v>
      </c>
      <c r="P66" s="26" t="s">
        <v>214</v>
      </c>
      <c r="T66" s="162" t="s">
        <v>624</v>
      </c>
      <c r="X66" s="241"/>
      <c r="Y66" s="242"/>
      <c r="Z66" s="242"/>
      <c r="AA66" s="242"/>
      <c r="AB66" s="242"/>
      <c r="AC66" s="242"/>
      <c r="AD66" s="242"/>
      <c r="AE66" s="242"/>
      <c r="AF66" s="243"/>
      <c r="AG66" s="158"/>
      <c r="AH66" s="117"/>
    </row>
    <row r="67" spans="1:34">
      <c r="A67" s="117"/>
      <c r="B67" s="122"/>
      <c r="O67" s="160" t="s">
        <v>622</v>
      </c>
      <c r="P67" s="26" t="s">
        <v>213</v>
      </c>
      <c r="T67" s="162" t="s">
        <v>624</v>
      </c>
      <c r="X67" s="241"/>
      <c r="Y67" s="242"/>
      <c r="Z67" s="242"/>
      <c r="AA67" s="242"/>
      <c r="AB67" s="242"/>
      <c r="AC67" s="242"/>
      <c r="AD67" s="242"/>
      <c r="AE67" s="242"/>
      <c r="AF67" s="243"/>
      <c r="AG67" s="158"/>
      <c r="AH67" s="117"/>
    </row>
    <row r="68" spans="1:34">
      <c r="A68" s="117"/>
      <c r="B68" s="122"/>
      <c r="O68" s="160" t="s">
        <v>622</v>
      </c>
      <c r="P68" s="26" t="s">
        <v>218</v>
      </c>
      <c r="T68" s="162" t="s">
        <v>624</v>
      </c>
      <c r="X68" s="241"/>
      <c r="Y68" s="242"/>
      <c r="Z68" s="242"/>
      <c r="AA68" s="242"/>
      <c r="AB68" s="242"/>
      <c r="AC68" s="242"/>
      <c r="AD68" s="242"/>
      <c r="AE68" s="242"/>
      <c r="AF68" s="243"/>
      <c r="AG68" s="158"/>
      <c r="AH68" s="117"/>
    </row>
    <row r="69" spans="1:34">
      <c r="A69" s="117"/>
      <c r="B69" s="122"/>
      <c r="O69" s="160" t="s">
        <v>622</v>
      </c>
      <c r="P69" s="26" t="s">
        <v>219</v>
      </c>
      <c r="T69" s="162" t="s">
        <v>624</v>
      </c>
      <c r="X69" s="241"/>
      <c r="Y69" s="242"/>
      <c r="Z69" s="242"/>
      <c r="AA69" s="242"/>
      <c r="AB69" s="242"/>
      <c r="AC69" s="242"/>
      <c r="AD69" s="242"/>
      <c r="AE69" s="242"/>
      <c r="AF69" s="243"/>
      <c r="AG69" s="158"/>
      <c r="AH69" s="117"/>
    </row>
    <row r="70" spans="1:34">
      <c r="A70" s="117"/>
      <c r="B70" s="122"/>
      <c r="O70" s="160" t="s">
        <v>622</v>
      </c>
      <c r="P70" s="26" t="s">
        <v>220</v>
      </c>
      <c r="T70" s="162" t="s">
        <v>624</v>
      </c>
      <c r="X70" s="241"/>
      <c r="Y70" s="242"/>
      <c r="Z70" s="242"/>
      <c r="AA70" s="242"/>
      <c r="AB70" s="242"/>
      <c r="AC70" s="242"/>
      <c r="AD70" s="242"/>
      <c r="AE70" s="242"/>
      <c r="AF70" s="243"/>
      <c r="AG70" s="158"/>
      <c r="AH70" s="117"/>
    </row>
    <row r="71" spans="1:34">
      <c r="A71" s="117"/>
      <c r="B71" s="122"/>
      <c r="O71" s="160" t="s">
        <v>622</v>
      </c>
      <c r="P71" s="26" t="s">
        <v>215</v>
      </c>
      <c r="T71" s="162" t="s">
        <v>624</v>
      </c>
      <c r="X71" s="241"/>
      <c r="Y71" s="242"/>
      <c r="Z71" s="242"/>
      <c r="AA71" s="242"/>
      <c r="AB71" s="242"/>
      <c r="AC71" s="242"/>
      <c r="AD71" s="242"/>
      <c r="AE71" s="242"/>
      <c r="AF71" s="243"/>
      <c r="AG71" s="158"/>
      <c r="AH71" s="117"/>
    </row>
    <row r="72" spans="1:34">
      <c r="A72" s="117"/>
      <c r="B72" s="122"/>
      <c r="O72" s="160" t="s">
        <v>622</v>
      </c>
      <c r="P72" s="26" t="s">
        <v>182</v>
      </c>
      <c r="T72" s="166" t="s">
        <v>638</v>
      </c>
      <c r="X72" s="241"/>
      <c r="Y72" s="242"/>
      <c r="Z72" s="242"/>
      <c r="AA72" s="242"/>
      <c r="AB72" s="242"/>
      <c r="AC72" s="242"/>
      <c r="AD72" s="242"/>
      <c r="AE72" s="242"/>
      <c r="AF72" s="243"/>
      <c r="AG72" s="158"/>
      <c r="AH72" s="117"/>
    </row>
    <row r="73" spans="1:34">
      <c r="A73" s="117"/>
      <c r="B73" s="122"/>
      <c r="O73" s="160" t="s">
        <v>622</v>
      </c>
      <c r="P73" s="178" t="s">
        <v>639</v>
      </c>
      <c r="T73" s="166" t="s">
        <v>640</v>
      </c>
      <c r="X73" s="241"/>
      <c r="Y73" s="242"/>
      <c r="Z73" s="242"/>
      <c r="AA73" s="242"/>
      <c r="AB73" s="242"/>
      <c r="AC73" s="242"/>
      <c r="AD73" s="242"/>
      <c r="AE73" s="242"/>
      <c r="AF73" s="243"/>
      <c r="AG73" s="158"/>
      <c r="AH73" s="117"/>
    </row>
    <row r="74" spans="1:34">
      <c r="A74" s="117"/>
      <c r="B74" s="122"/>
      <c r="P74" s="159"/>
      <c r="X74" s="241"/>
      <c r="Y74" s="242"/>
      <c r="Z74" s="242"/>
      <c r="AA74" s="242"/>
      <c r="AB74" s="242"/>
      <c r="AC74" s="242"/>
      <c r="AD74" s="242"/>
      <c r="AE74" s="242"/>
      <c r="AF74" s="243"/>
      <c r="AG74" s="158"/>
      <c r="AH74" s="117"/>
    </row>
    <row r="75" spans="1:34">
      <c r="A75" s="117"/>
      <c r="B75" s="122"/>
      <c r="P75" s="130" t="s">
        <v>641</v>
      </c>
      <c r="Q75" s="131"/>
      <c r="R75" s="131"/>
      <c r="S75" s="131"/>
      <c r="T75" s="131"/>
      <c r="U75" s="131"/>
      <c r="V75" s="131"/>
      <c r="X75" s="241"/>
      <c r="Y75" s="242"/>
      <c r="Z75" s="242"/>
      <c r="AA75" s="242"/>
      <c r="AB75" s="242"/>
      <c r="AC75" s="242"/>
      <c r="AD75" s="242"/>
      <c r="AE75" s="242"/>
      <c r="AF75" s="243"/>
      <c r="AG75" s="158"/>
      <c r="AH75" s="117"/>
    </row>
    <row r="76" spans="1:34">
      <c r="A76" s="117"/>
      <c r="B76" s="122"/>
      <c r="O76" s="160" t="s">
        <v>622</v>
      </c>
      <c r="P76" s="26" t="s">
        <v>642</v>
      </c>
      <c r="T76" s="166" t="s">
        <v>638</v>
      </c>
      <c r="X76" s="241"/>
      <c r="Y76" s="242"/>
      <c r="Z76" s="242"/>
      <c r="AA76" s="242"/>
      <c r="AB76" s="242"/>
      <c r="AC76" s="242"/>
      <c r="AD76" s="242"/>
      <c r="AE76" s="242"/>
      <c r="AF76" s="243"/>
      <c r="AG76" s="158"/>
      <c r="AH76" s="117"/>
    </row>
    <row r="77" spans="1:34">
      <c r="A77" s="117"/>
      <c r="B77" s="122"/>
      <c r="O77" s="160" t="s">
        <v>622</v>
      </c>
      <c r="P77" s="26" t="s">
        <v>312</v>
      </c>
      <c r="T77" s="162" t="s">
        <v>643</v>
      </c>
      <c r="X77" s="241"/>
      <c r="Y77" s="242"/>
      <c r="Z77" s="242"/>
      <c r="AA77" s="242"/>
      <c r="AB77" s="242"/>
      <c r="AC77" s="242"/>
      <c r="AD77" s="242"/>
      <c r="AE77" s="242"/>
      <c r="AF77" s="243"/>
      <c r="AG77" s="158"/>
      <c r="AH77" s="117"/>
    </row>
    <row r="78" spans="1:34">
      <c r="A78" s="117"/>
      <c r="B78" s="122"/>
      <c r="O78" s="160" t="s">
        <v>622</v>
      </c>
      <c r="P78" s="26" t="s">
        <v>326</v>
      </c>
      <c r="T78" s="162" t="s">
        <v>624</v>
      </c>
      <c r="X78" s="241"/>
      <c r="Y78" s="242"/>
      <c r="Z78" s="242"/>
      <c r="AA78" s="242"/>
      <c r="AB78" s="242"/>
      <c r="AC78" s="242"/>
      <c r="AD78" s="242"/>
      <c r="AE78" s="242"/>
      <c r="AF78" s="243"/>
      <c r="AG78" s="158"/>
      <c r="AH78" s="117"/>
    </row>
    <row r="79" spans="1:34">
      <c r="A79" s="117"/>
      <c r="B79" s="122"/>
      <c r="O79" s="160" t="s">
        <v>622</v>
      </c>
      <c r="P79" s="26" t="s">
        <v>334</v>
      </c>
      <c r="T79" s="166" t="s">
        <v>638</v>
      </c>
      <c r="X79" s="241"/>
      <c r="Y79" s="242"/>
      <c r="Z79" s="242"/>
      <c r="AA79" s="242"/>
      <c r="AB79" s="242"/>
      <c r="AC79" s="242"/>
      <c r="AD79" s="242"/>
      <c r="AE79" s="242"/>
      <c r="AF79" s="243"/>
      <c r="AG79" s="158"/>
      <c r="AH79" s="117"/>
    </row>
    <row r="80" spans="1:34">
      <c r="A80" s="117"/>
      <c r="B80" s="122"/>
      <c r="O80" s="160"/>
      <c r="T80" s="161"/>
      <c r="X80" s="244"/>
      <c r="Y80" s="245"/>
      <c r="Z80" s="245"/>
      <c r="AA80" s="245"/>
      <c r="AB80" s="245"/>
      <c r="AC80" s="245"/>
      <c r="AD80" s="245"/>
      <c r="AE80" s="245"/>
      <c r="AF80" s="246"/>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45595</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3" t="s">
        <v>1965</v>
      </c>
      <c r="Y87" s="224"/>
      <c r="Z87" s="224"/>
      <c r="AA87" s="224"/>
      <c r="AB87" s="224"/>
      <c r="AC87" s="224"/>
      <c r="AD87" s="224"/>
      <c r="AE87" s="224"/>
      <c r="AF87" s="225"/>
      <c r="AG87" s="163"/>
      <c r="AH87" s="117"/>
    </row>
    <row r="88" spans="1:34">
      <c r="A88" s="117"/>
      <c r="B88" s="122"/>
      <c r="P88" s="26" t="s">
        <v>614</v>
      </c>
      <c r="T88" s="26">
        <f>COUNTIFS(Table4[Status Anterior],'1. Status Resumo'!$P88,Table4[Sub-âmbito],'1. Status Resumo'!$G$83,Table4[Tipo de teste],"2. Campo")</f>
        <v>52</v>
      </c>
      <c r="U88" s="26">
        <f>COUNTIFS(Table4[Status Atual],'1. Status Resumo'!$P88,Table4[Sub-âmbito],'1. Status Resumo'!$G$83,Table4[Tipo de teste],"2. Campo")</f>
        <v>53</v>
      </c>
      <c r="V88" s="26">
        <f t="shared" ref="V88:V95" si="4">U88-T88</f>
        <v>1</v>
      </c>
      <c r="X88" s="226"/>
      <c r="Y88" s="227"/>
      <c r="Z88" s="227"/>
      <c r="AA88" s="227"/>
      <c r="AB88" s="227"/>
      <c r="AC88" s="227"/>
      <c r="AD88" s="227"/>
      <c r="AE88" s="227"/>
      <c r="AF88" s="228"/>
      <c r="AG88" s="163"/>
      <c r="AH88" s="117"/>
    </row>
    <row r="89" spans="1:34">
      <c r="A89" s="117"/>
      <c r="B89" s="122"/>
      <c r="P89" s="26" t="s">
        <v>1947</v>
      </c>
      <c r="T89" s="26">
        <f>COUNTIFS(Table4[Status Anterior],'1. Status Resumo'!$P89,Table4[Sub-âmbito],'1. Status Resumo'!$G$83,Table4[Tipo de teste],"2. Campo")</f>
        <v>5</v>
      </c>
      <c r="U89" s="26">
        <f>COUNTIFS(Table4[Status Atual],'1. Status Resumo'!$P89,Table4[Sub-âmbito],'1. Status Resumo'!$G$83,Table4[Tipo de teste],"2. Campo")</f>
        <v>0</v>
      </c>
      <c r="V89" s="26">
        <f t="shared" si="4"/>
        <v>-5</v>
      </c>
      <c r="X89" s="226"/>
      <c r="Y89" s="227"/>
      <c r="Z89" s="227"/>
      <c r="AA89" s="227"/>
      <c r="AB89" s="227"/>
      <c r="AC89" s="227"/>
      <c r="AD89" s="227"/>
      <c r="AE89" s="227"/>
      <c r="AF89" s="228"/>
      <c r="AG89" s="163"/>
      <c r="AH89" s="117"/>
    </row>
    <row r="90" spans="1:34" ht="17.7" customHeight="1">
      <c r="A90" s="117"/>
      <c r="B90" s="122"/>
      <c r="D90" s="222" t="str">
        <f>"# "&amp;U96</f>
        <v># 130</v>
      </c>
      <c r="E90" s="222"/>
      <c r="P90" s="26" t="s">
        <v>1948</v>
      </c>
      <c r="T90" s="26">
        <f>COUNTIFS(Table4[Status Anterior],'1. Status Resumo'!$P90,Table4[Sub-âmbito],'1. Status Resumo'!$G$83,Table4[Tipo de teste],"2. Campo")</f>
        <v>15</v>
      </c>
      <c r="U90" s="26">
        <f>COUNTIFS(Table4[Status Atual],'1. Status Resumo'!$P90,Table4[Sub-âmbito],'1. Status Resumo'!$G$83,Table4[Tipo de teste],"2. Campo")</f>
        <v>6</v>
      </c>
      <c r="V90" s="26">
        <f t="shared" ref="V90" si="5">U90-T90</f>
        <v>-9</v>
      </c>
      <c r="X90" s="226"/>
      <c r="Y90" s="227"/>
      <c r="Z90" s="227"/>
      <c r="AA90" s="227"/>
      <c r="AB90" s="227"/>
      <c r="AC90" s="227"/>
      <c r="AD90" s="227"/>
      <c r="AE90" s="227"/>
      <c r="AF90" s="228"/>
      <c r="AG90" s="163"/>
      <c r="AH90" s="117"/>
    </row>
    <row r="91" spans="1:34" ht="17.7" customHeight="1">
      <c r="A91" s="117"/>
      <c r="B91" s="122"/>
      <c r="D91" s="222"/>
      <c r="E91" s="222"/>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6"/>
      <c r="Y91" s="227"/>
      <c r="Z91" s="227"/>
      <c r="AA91" s="227"/>
      <c r="AB91" s="227"/>
      <c r="AC91" s="227"/>
      <c r="AD91" s="227"/>
      <c r="AE91" s="227"/>
      <c r="AF91" s="228"/>
      <c r="AG91" s="163"/>
      <c r="AH91" s="117"/>
    </row>
    <row r="92" spans="1:34" ht="17.7" customHeight="1">
      <c r="A92" s="117"/>
      <c r="B92" s="122"/>
      <c r="D92" s="222"/>
      <c r="E92" s="222"/>
      <c r="P92" s="26" t="s">
        <v>616</v>
      </c>
      <c r="T92" s="26">
        <f>COUNTIFS(Table4[Status Anterior],'1. Status Resumo'!$P92,Table4[Sub-âmbito],'1. Status Resumo'!$G$83,Table4[Tipo de teste],"2. Campo")</f>
        <v>5</v>
      </c>
      <c r="U92" s="26">
        <f>COUNTIFS(Table4[Status Atual],'1. Status Resumo'!$P92,Table4[Sub-âmbito],'1. Status Resumo'!$G$83,Table4[Tipo de teste],"2. Campo")</f>
        <v>1</v>
      </c>
      <c r="V92" s="26">
        <f t="shared" si="4"/>
        <v>-4</v>
      </c>
      <c r="X92" s="226"/>
      <c r="Y92" s="227"/>
      <c r="Z92" s="227"/>
      <c r="AA92" s="227"/>
      <c r="AB92" s="227"/>
      <c r="AC92" s="227"/>
      <c r="AD92" s="227"/>
      <c r="AE92" s="227"/>
      <c r="AF92" s="228"/>
      <c r="AG92" s="163"/>
      <c r="AH92" s="117"/>
    </row>
    <row r="93" spans="1:34">
      <c r="A93" s="117"/>
      <c r="B93" s="122"/>
      <c r="D93" s="222"/>
      <c r="E93" s="222"/>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6"/>
      <c r="Y93" s="227"/>
      <c r="Z93" s="227"/>
      <c r="AA93" s="227"/>
      <c r="AB93" s="227"/>
      <c r="AC93" s="227"/>
      <c r="AD93" s="227"/>
      <c r="AE93" s="227"/>
      <c r="AF93" s="228"/>
      <c r="AG93" s="163"/>
      <c r="AH93" s="117"/>
    </row>
    <row r="94" spans="1:34">
      <c r="A94" s="117"/>
      <c r="B94" s="122"/>
      <c r="D94" s="222"/>
      <c r="E94" s="222"/>
      <c r="P94" s="26" t="s">
        <v>619</v>
      </c>
      <c r="T94" s="26">
        <f>COUNTIFS(Table4[Status Anterior],'1. Status Resumo'!$P94,Table4[Sub-âmbito],'1. Status Resumo'!$G$83,Table4[Tipo de teste],"2. Campo")</f>
        <v>35</v>
      </c>
      <c r="U94" s="26">
        <f>COUNTIFS(Table4[Status Atual],'1. Status Resumo'!$P94,Table4[Sub-âmbito],'1. Status Resumo'!$G$83,Table4[Tipo de teste],"2. Campo")</f>
        <v>52</v>
      </c>
      <c r="V94" s="26">
        <f t="shared" si="4"/>
        <v>17</v>
      </c>
      <c r="X94" s="226"/>
      <c r="Y94" s="227"/>
      <c r="Z94" s="227"/>
      <c r="AA94" s="227"/>
      <c r="AB94" s="227"/>
      <c r="AC94" s="227"/>
      <c r="AD94" s="227"/>
      <c r="AE94" s="227"/>
      <c r="AF94" s="228"/>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6"/>
      <c r="Y95" s="227"/>
      <c r="Z95" s="227"/>
      <c r="AA95" s="227"/>
      <c r="AB95" s="227"/>
      <c r="AC95" s="227"/>
      <c r="AD95" s="227"/>
      <c r="AE95" s="227"/>
      <c r="AF95" s="228"/>
      <c r="AG95" s="163"/>
      <c r="AH95" s="117"/>
    </row>
    <row r="96" spans="1:34">
      <c r="A96" s="117"/>
      <c r="B96" s="122"/>
      <c r="T96" s="128">
        <f>SUM(T87:T95)</f>
        <v>130</v>
      </c>
      <c r="U96" s="128">
        <f>SUM(U87:U95)</f>
        <v>130</v>
      </c>
      <c r="X96" s="226"/>
      <c r="Y96" s="227"/>
      <c r="Z96" s="227"/>
      <c r="AA96" s="227"/>
      <c r="AB96" s="227"/>
      <c r="AC96" s="227"/>
      <c r="AD96" s="227"/>
      <c r="AE96" s="227"/>
      <c r="AF96" s="228"/>
      <c r="AG96" s="163"/>
      <c r="AH96" s="117"/>
    </row>
    <row r="97" spans="1:34">
      <c r="A97" s="117"/>
      <c r="B97" s="122"/>
      <c r="T97" s="128"/>
      <c r="U97" s="128"/>
      <c r="X97" s="226"/>
      <c r="Y97" s="227"/>
      <c r="Z97" s="227"/>
      <c r="AA97" s="227"/>
      <c r="AB97" s="227"/>
      <c r="AC97" s="227"/>
      <c r="AD97" s="227"/>
      <c r="AE97" s="227"/>
      <c r="AF97" s="228"/>
      <c r="AG97" s="163"/>
      <c r="AH97" s="117"/>
    </row>
    <row r="98" spans="1:34">
      <c r="A98" s="117"/>
      <c r="B98" s="122"/>
      <c r="P98" s="130" t="s">
        <v>620</v>
      </c>
      <c r="Q98" s="131"/>
      <c r="R98" s="131"/>
      <c r="S98" s="131"/>
      <c r="T98" s="131"/>
      <c r="U98" s="131"/>
      <c r="V98" s="131"/>
      <c r="X98" s="226"/>
      <c r="Y98" s="227"/>
      <c r="Z98" s="227"/>
      <c r="AA98" s="227"/>
      <c r="AB98" s="227"/>
      <c r="AC98" s="227"/>
      <c r="AD98" s="227"/>
      <c r="AE98" s="227"/>
      <c r="AF98" s="228"/>
      <c r="AG98" s="163"/>
      <c r="AH98" s="117"/>
    </row>
    <row r="99" spans="1:34">
      <c r="A99" s="117"/>
      <c r="B99" s="122"/>
      <c r="O99" s="160" t="s">
        <v>622</v>
      </c>
      <c r="P99" s="26" t="s">
        <v>380</v>
      </c>
      <c r="T99" s="207" t="s">
        <v>1950</v>
      </c>
      <c r="X99" s="226"/>
      <c r="Y99" s="227"/>
      <c r="Z99" s="227"/>
      <c r="AA99" s="227"/>
      <c r="AB99" s="227"/>
      <c r="AC99" s="227"/>
      <c r="AD99" s="227"/>
      <c r="AE99" s="227"/>
      <c r="AF99" s="228"/>
      <c r="AG99" s="163"/>
      <c r="AH99" s="117"/>
    </row>
    <row r="100" spans="1:34">
      <c r="A100" s="117"/>
      <c r="B100" s="122"/>
      <c r="O100" s="160" t="s">
        <v>622</v>
      </c>
      <c r="P100" s="26" t="s">
        <v>336</v>
      </c>
      <c r="T100" s="207" t="s">
        <v>1950</v>
      </c>
      <c r="X100" s="226"/>
      <c r="Y100" s="227"/>
      <c r="Z100" s="227"/>
      <c r="AA100" s="227"/>
      <c r="AB100" s="227"/>
      <c r="AC100" s="227"/>
      <c r="AD100" s="227"/>
      <c r="AE100" s="227"/>
      <c r="AF100" s="228"/>
      <c r="AG100" s="163"/>
      <c r="AH100" s="117"/>
    </row>
    <row r="101" spans="1:34">
      <c r="A101" s="117"/>
      <c r="B101" s="122"/>
      <c r="O101" s="160" t="s">
        <v>622</v>
      </c>
      <c r="P101" s="26" t="s">
        <v>369</v>
      </c>
      <c r="T101" s="207" t="s">
        <v>1950</v>
      </c>
      <c r="X101" s="226"/>
      <c r="Y101" s="227"/>
      <c r="Z101" s="227"/>
      <c r="AA101" s="227"/>
      <c r="AB101" s="227"/>
      <c r="AC101" s="227"/>
      <c r="AD101" s="227"/>
      <c r="AE101" s="227"/>
      <c r="AF101" s="228"/>
      <c r="AG101" s="163"/>
      <c r="AH101" s="117"/>
    </row>
    <row r="102" spans="1:34">
      <c r="A102" s="117"/>
      <c r="B102" s="122"/>
      <c r="O102" s="160" t="s">
        <v>622</v>
      </c>
      <c r="P102" s="26" t="s">
        <v>440</v>
      </c>
      <c r="T102" s="162" t="s">
        <v>624</v>
      </c>
      <c r="X102" s="226"/>
      <c r="Y102" s="227"/>
      <c r="Z102" s="227"/>
      <c r="AA102" s="227"/>
      <c r="AB102" s="227"/>
      <c r="AC102" s="227"/>
      <c r="AD102" s="227"/>
      <c r="AE102" s="227"/>
      <c r="AF102" s="228"/>
      <c r="AG102" s="163"/>
      <c r="AH102" s="117"/>
    </row>
    <row r="103" spans="1:34">
      <c r="A103" s="117"/>
      <c r="B103" s="122"/>
      <c r="O103" s="160" t="s">
        <v>622</v>
      </c>
      <c r="P103" s="26" t="s">
        <v>442</v>
      </c>
      <c r="T103" s="162" t="s">
        <v>624</v>
      </c>
      <c r="X103" s="226"/>
      <c r="Y103" s="227"/>
      <c r="Z103" s="227"/>
      <c r="AA103" s="227"/>
      <c r="AB103" s="227"/>
      <c r="AC103" s="227"/>
      <c r="AD103" s="227"/>
      <c r="AE103" s="227"/>
      <c r="AF103" s="228"/>
      <c r="AG103" s="163"/>
      <c r="AH103" s="117"/>
    </row>
    <row r="104" spans="1:34">
      <c r="A104" s="117"/>
      <c r="B104" s="122"/>
      <c r="O104" s="160" t="s">
        <v>622</v>
      </c>
      <c r="P104" s="26" t="s">
        <v>390</v>
      </c>
      <c r="T104" s="207" t="s">
        <v>1950</v>
      </c>
      <c r="X104" s="226"/>
      <c r="Y104" s="227"/>
      <c r="Z104" s="227"/>
      <c r="AA104" s="227"/>
      <c r="AB104" s="227"/>
      <c r="AC104" s="227"/>
      <c r="AD104" s="227"/>
      <c r="AE104" s="227"/>
      <c r="AF104" s="228"/>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68"/>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F570" sqref="F570"/>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1955</v>
      </c>
      <c r="N6" s="218" t="s">
        <v>1956</v>
      </c>
    </row>
    <row r="7" spans="1:14" ht="16.2" hidden="1" customHeight="1">
      <c r="A7" s="30" t="str">
        <f>E7&amp;F7</f>
        <v>ENERGY_CERTIFICATE_EST_INPUTn.a.</v>
      </c>
      <c r="B7" s="142" t="s">
        <v>26</v>
      </c>
      <c r="C7" s="138" t="s">
        <v>34</v>
      </c>
      <c r="D7" s="134" t="s">
        <v>36</v>
      </c>
      <c r="E7" s="135" t="s">
        <v>37</v>
      </c>
      <c r="F7" s="134" t="s">
        <v>38</v>
      </c>
      <c r="G7" s="136" t="str">
        <f>VLOOKUP(A7,Plano_V3!$A$26:$G$586,7,0)</f>
        <v>6. Em implementação (re-especificação)</v>
      </c>
      <c r="H7" s="136" t="s">
        <v>619</v>
      </c>
      <c r="I7" s="143" t="s">
        <v>1949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VLOOKUP(A8,Plano_V3!$A$26:$G$586,7,0)</f>
        <v>6. Em implementação (re-especificação)</v>
      </c>
      <c r="H8" s="136" t="s">
        <v>619</v>
      </c>
      <c r="I8" s="143" t="s">
        <v>1949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VLOOKUP(A9,Plano_V3!$A$26:$G$586,7,0)</f>
        <v>6. Em implementação (re-especificação)</v>
      </c>
      <c r="H9" s="136" t="s">
        <v>619</v>
      </c>
      <c r="I9" s="143" t="s">
        <v>1949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VLOOKUP(A10,Plano_V3!$A$26:$G$586,7,0)</f>
        <v>6. Em implementação (re-especificação)</v>
      </c>
      <c r="H10" s="136" t="s">
        <v>619</v>
      </c>
      <c r="I10" s="143" t="s">
        <v>1949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VLOOKUP(A11,Plano_V3!$A$26:$G$586,7,0)</f>
        <v>6. Em implementação (re-especificação)</v>
      </c>
      <c r="H11" s="136" t="s">
        <v>619</v>
      </c>
      <c r="I11" s="143" t="s">
        <v>1949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VLOOKUP(A12,Plano_V3!$A$26:$G$586,7,0)</f>
        <v>6. Em implementação (re-especificação)</v>
      </c>
      <c r="H12" s="136" t="s">
        <v>619</v>
      </c>
      <c r="I12" s="143" t="s">
        <v>1949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VLOOKUP(A13,Plano_V3!$A$26:$G$586,7,0)</f>
        <v>6. Em implementação (re-especificação)</v>
      </c>
      <c r="H13" s="136" t="s">
        <v>619</v>
      </c>
      <c r="I13" s="143" t="s">
        <v>1949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VLOOKUP(A14,Plano_V3!$A$26:$G$586,7,0)</f>
        <v>6. Em implementação (re-especificação)</v>
      </c>
      <c r="H14" s="136" t="s">
        <v>619</v>
      </c>
      <c r="I14" s="143" t="s">
        <v>1949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VLOOKUP(A15,Plano_V3!$A$26:$G$586,7,0)</f>
        <v>6. Em implementação (re-especificação)</v>
      </c>
      <c r="H15" s="136" t="s">
        <v>619</v>
      </c>
      <c r="I15" s="143" t="s">
        <v>1949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VLOOKUP(A16,Plano_V3!$A$26:$G$586,7,0)</f>
        <v>6. Em implementação (re-especificação)</v>
      </c>
      <c r="H16" s="136" t="s">
        <v>619</v>
      </c>
      <c r="I16" s="143" t="s">
        <v>1949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VLOOKUP(A17,Plano_V3!$A$26:$G$586,7,0)</f>
        <v>6. Em implementação (re-especificação)</v>
      </c>
      <c r="H17" s="136" t="s">
        <v>619</v>
      </c>
      <c r="I17" s="143" t="s">
        <v>1949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VLOOKUP(A18,Plano_V3!$A$26:$G$586,7,0)</f>
        <v>6. Em implementação (re-especificação)</v>
      </c>
      <c r="H18" s="136" t="s">
        <v>619</v>
      </c>
      <c r="I18" s="143" t="s">
        <v>1949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VLOOKUP(A19,Plano_V3!$A$26:$G$586,7,0)</f>
        <v>6. Em implementação (re-especificação)</v>
      </c>
      <c r="H19" s="136" t="s">
        <v>619</v>
      </c>
      <c r="I19" s="143" t="s">
        <v>1949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VLOOKUP(A20,Plano_V3!$A$26:$G$586,7,0)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VLOOKUP(A21,Plano_V3!$A$26:$G$586,7,0)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VLOOKUP(A22,Plano_V3!$A$26:$G$586,7,0)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VLOOKUP(A23,Plano_V3!$A$26:$G$586,7,0)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VLOOKUP(A24,Plano_V3!$A$26:$G$586,7,0)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VLOOKUP(A25,Plano_V3!$A$26:$G$586,7,0)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VLOOKUP(A26,Plano_V3!$A$26:$G$586,7,0)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VLOOKUP(A27,Plano_V3!$A$26:$G$586,7,0)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VLOOKUP(A28,Plano_V3!$A$26:$G$586,7,0)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VLOOKUP(A29,Plano_V3!$A$26:$G$586,7,0)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VLOOKUP(A30,Plano_V3!$A$26:$G$586,7,0)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VLOOKUP(A31,Plano_V3!$A$26:$G$586,7,0)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VLOOKUP(A32,Plano_V3!$A$26:$G$586,7,0)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VLOOKUP(A33,Plano_V3!$A$26:$G$586,7,0)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VLOOKUP(A34,Plano_V3!$A$26:$G$586,7,0)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VLOOKUP(A35,Plano_V3!$A$26:$G$586,7,0)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VLOOKUP(A36,Plano_V3!$A$26:$G$586,7,0)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VLOOKUP(A37,Plano_V3!$A$26:$G$586,7,0)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VLOOKUP(A38,Plano_V3!$A$26:$G$586,7,0)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VLOOKUP(A39,Plano_V3!$A$26:$G$586,7,0)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VLOOKUP(A40,Plano_V3!$A$26:$G$586,7,0)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VLOOKUP(A41,Plano_V3!$A$26:$G$586,7,0)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VLOOKUP(A42,Plano_V3!$A$26:$G$586,7,0)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VLOOKUP(A43,Plano_V3!$A$26:$G$586,7,0)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VLOOKUP(A44,Plano_V3!$A$26:$G$586,7,0)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VLOOKUP(A45,Plano_V3!$A$26:$G$586,7,0)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VLOOKUP(A46,Plano_V3!$A$26:$G$586,7,0)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VLOOKUP(A47,Plano_V3!$A$26:$G$586,7,0)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VLOOKUP(A48,Plano_V3!$A$26:$G$586,7,0)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VLOOKUP(A49,Plano_V3!$A$26:$G$586,7,0)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VLOOKUP(A50,Plano_V3!$A$26:$G$586,7,0)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VLOOKUP(A51,Plano_V3!$A$26:$G$586,7,0)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VLOOKUP(A52,Plano_V3!$A$26:$G$586,7,0)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VLOOKUP(A53,Plano_V3!$A$26:$G$586,7,0)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VLOOKUP(A54,Plano_V3!$A$26:$G$586,7,0)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VLOOKUP(A55,Plano_V3!$A$26:$G$586,7,0)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VLOOKUP(A56,Plano_V3!$A$26:$G$586,7,0)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VLOOKUP(A57,Plano_V3!$A$26:$G$586,7,0)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VLOOKUP(A58,Plano_V3!$A$26:$G$586,7,0)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VLOOKUP(A59,Plano_V3!$A$26:$G$586,7,0)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VLOOKUP(A60,Plano_V3!$A$26:$G$586,7,0)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VLOOKUP(A61,Plano_V3!$A$26:$G$586,7,0)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VLOOKUP(A62,Plano_V3!$A$26:$G$586,7,0)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VLOOKUP(A63,Plano_V3!$A$26:$G$586,7,0)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VLOOKUP(A64,Plano_V3!$A$26:$G$586,7,0)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VLOOKUP(A65,Plano_V3!$A$26:$G$586,7,0)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VLOOKUP(A66,Plano_V3!$A$26:$G$586,7,0)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VLOOKUP(A67,Plano_V3!$A$26:$G$586,7,0)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VLOOKUP(A68,Plano_V3!$A$26:$G$586,7,0)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VLOOKUP(A69,Plano_V3!$A$26:$G$586,7,0)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VLOOKUP(A70,Plano_V3!$A$26:$G$586,7,0)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VLOOKUP(A71,Plano_V3!$A$26:$G$586,7,0)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5" si="1">E72&amp;F72</f>
        <v>PROCESS_PROPERTY_RELOWNED_PROPERTY_IND</v>
      </c>
      <c r="B72" s="142" t="s">
        <v>26</v>
      </c>
      <c r="C72" s="138" t="s">
        <v>54</v>
      </c>
      <c r="D72" s="134" t="s">
        <v>40</v>
      </c>
      <c r="E72" s="135" t="s">
        <v>88</v>
      </c>
      <c r="F72" s="134" t="s">
        <v>93</v>
      </c>
      <c r="G72" s="136" t="str">
        <f>VLOOKUP(A72,Plano_V3!$A$26:$G$586,7,0)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VLOOKUP(A73,Plano_V3!$A$26:$G$586,7,0)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VLOOKUP(A74,Plano_V3!$A$26:$G$586,7,0)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VLOOKUP(A75,Plano_V3!$A$26:$G$586,7,0)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VLOOKUP(A76,Plano_V3!$A$26:$G$586,7,0)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VLOOKUP(A77,Plano_V3!$A$26:$G$586,7,0)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VLOOKUP(A78,Plano_V3!$A$26:$G$586,7,0)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VLOOKUP(A79,Plano_V3!$A$26:$G$586,7,0)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VLOOKUP(A80,Plano_V3!$A$26:$G$586,7,0)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VLOOKUP(A81,Plano_V3!$A$26:$G$586,7,0)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VLOOKUP(A82,Plano_V3!$A$26:$G$586,7,0)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VLOOKUP(A83,Plano_V3!$A$26:$G$586,7,0)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VLOOKUP(A84,Plano_V3!$A$26:$G$586,7,0)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VLOOKUP(A85,Plano_V3!$A$26:$G$586,7,0)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VLOOKUP(A86,Plano_V3!$A$26:$G$586,7,0)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VLOOKUP(A87,Plano_V3!$A$26:$G$586,7,0)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VLOOKUP(A88,Plano_V3!$A$26:$G$586,7,0)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VLOOKUP(A89,Plano_V3!$A$26:$G$586,7,0)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VLOOKUP(A90,Plano_V3!$A$26:$G$586,7,0)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VLOOKUP(A91,Plano_V3!$A$26:$G$586,7,0)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VLOOKUP(A92,Plano_V3!$A$26:$G$586,7,0)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VLOOKUP(A93,Plano_V3!$A$26:$G$586,7,0)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VLOOKUP(A94,Plano_V3!$A$26:$G$586,7,0)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VLOOKUP(A95,Plano_V3!$A$26:$G$586,7,0)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VLOOKUP(A96,Plano_V3!$A$26:$G$586,7,0)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VLOOKUP(A97,Plano_V3!$A$26:$G$586,7,0)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VLOOKUP(A98,Plano_V3!$A$26:$G$586,7,0)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VLOOKUP(A99,Plano_V3!$A$26:$G$586,7,0)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VLOOKUP(A100,Plano_V3!$A$26:$G$586,7,0)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VLOOKUP(A101,Plano_V3!$A$26:$G$586,7,0)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VLOOKUP(A102,Plano_V3!$A$26:$G$586,7,0)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VLOOKUP(A103,Plano_V3!$A$26:$G$586,7,0)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VLOOKUP(A104,Plano_V3!$A$26:$G$586,7,0)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VLOOKUP(A105,Plano_V3!$A$26:$G$586,7,0)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VLOOKUP(A106,Plano_V3!$A$26:$G$586,7,0)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PROPERTYURBANIZATION</v>
      </c>
      <c r="B107" s="142" t="s">
        <v>26</v>
      </c>
      <c r="C107" s="138" t="s">
        <v>54</v>
      </c>
      <c r="D107" s="134" t="s">
        <v>40</v>
      </c>
      <c r="E107" s="135" t="s">
        <v>94</v>
      </c>
      <c r="F107" s="134" t="s">
        <v>122</v>
      </c>
      <c r="G107" s="136" t="str">
        <f>VLOOKUP(A107,Plano_V3!$A$26:$G$586,7,0)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PROPERTY_ENERGY_CERTIFICATEn.a.</v>
      </c>
      <c r="B108" s="142" t="s">
        <v>26</v>
      </c>
      <c r="C108" s="138" t="s">
        <v>54</v>
      </c>
      <c r="D108" s="134" t="s">
        <v>36</v>
      </c>
      <c r="E108" s="135" t="s">
        <v>123</v>
      </c>
      <c r="F108" s="134" t="s">
        <v>38</v>
      </c>
      <c r="G108" s="136" t="str">
        <f>VLOOKUP(A108,Plano_V3!$A$26:$G$586,7,0)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PROPERTY_ENERGY_CERTIFICATEPROPERTY_BANK_ID</v>
      </c>
      <c r="B109" s="142" t="s">
        <v>26</v>
      </c>
      <c r="C109" s="138" t="s">
        <v>54</v>
      </c>
      <c r="D109" s="134" t="s">
        <v>40</v>
      </c>
      <c r="E109" s="135" t="s">
        <v>123</v>
      </c>
      <c r="F109" s="134" t="s">
        <v>41</v>
      </c>
      <c r="G109" s="136" t="str">
        <f>VLOOKUP(A109,Plano_V3!$A$26:$G$586,7,0)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PROPERTY_ENERGY_CERTIFICATEPROPERTY_BRANCH_CODE</v>
      </c>
      <c r="B110" s="142" t="s">
        <v>26</v>
      </c>
      <c r="C110" s="138" t="s">
        <v>54</v>
      </c>
      <c r="D110" s="134" t="s">
        <v>40</v>
      </c>
      <c r="E110" s="135" t="s">
        <v>123</v>
      </c>
      <c r="F110" s="134" t="s">
        <v>43</v>
      </c>
      <c r="G110" s="136" t="str">
        <f>VLOOKUP(A110,Plano_V3!$A$26:$G$586,7,0)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PROPERTY_ENERGY_CERTIFICATEPROPERTY_CONTRACT_ID</v>
      </c>
      <c r="B111" s="142" t="s">
        <v>26</v>
      </c>
      <c r="C111" s="138" t="s">
        <v>54</v>
      </c>
      <c r="D111" s="134" t="s">
        <v>40</v>
      </c>
      <c r="E111" s="135" t="s">
        <v>123</v>
      </c>
      <c r="F111" s="134" t="s">
        <v>44</v>
      </c>
      <c r="G111" s="136" t="str">
        <f>VLOOKUP(A111,Plano_V3!$A$26:$G$586,7,0)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PROPERTY_ENERGY_CERTIFICATEPROPERTY_REFERENCE_CODE</v>
      </c>
      <c r="B112" s="142" t="s">
        <v>26</v>
      </c>
      <c r="C112" s="138" t="s">
        <v>54</v>
      </c>
      <c r="D112" s="134" t="s">
        <v>40</v>
      </c>
      <c r="E112" s="135" t="s">
        <v>123</v>
      </c>
      <c r="F112" s="134" t="s">
        <v>45</v>
      </c>
      <c r="G112" s="136" t="str">
        <f>VLOOKUP(A112,Plano_V3!$A$26:$G$586,7,0)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PROPERTY_ENERGY_CERTIFICATELAND_REGISTRY_OFFICE_CODE</v>
      </c>
      <c r="B113" s="142" t="s">
        <v>26</v>
      </c>
      <c r="C113" s="138" t="s">
        <v>54</v>
      </c>
      <c r="D113" s="134" t="s">
        <v>40</v>
      </c>
      <c r="E113" s="135" t="s">
        <v>123</v>
      </c>
      <c r="F113" s="134" t="s">
        <v>125</v>
      </c>
      <c r="G113" s="136" t="str">
        <f>VLOOKUP(A113,Plano_V3!$A$26:$G$586,7,0)</f>
        <v>6. Em implementação (re-especificação)</v>
      </c>
      <c r="H113" s="136" t="s">
        <v>619</v>
      </c>
      <c r="I113" s="143"/>
      <c r="J113" s="153">
        <f>IF(VLOOKUP(A113,'Aux - pivots1'!$A:$E,3,0)=0, "",VLOOKUP(A113,'Aux - pivots1'!$A:$E,3,0))</f>
        <v>45562</v>
      </c>
      <c r="K113" s="153">
        <f>IF(VLOOKUP(A113,'Aux - pivots1'!$A:$E,4,0)=0, "",VLOOKUP(A113,'Aux - pivots1'!$A:$E,4,0))</f>
        <v>45607</v>
      </c>
      <c r="L113" s="153" t="str">
        <f>IF(VLOOKUP(A113,'Aux - pivots1'!$A:$E,5,0)=0, "",VLOOKUP(A113,'Aux - pivots1'!$A:$E,5,0))</f>
        <v/>
      </c>
      <c r="M113" s="209"/>
      <c r="N113" s="209"/>
    </row>
    <row r="114" spans="1:14" ht="16.2" hidden="1" customHeight="1">
      <c r="A114" s="30" t="str">
        <f t="shared" si="1"/>
        <v>PROPERTY_ENERGY_CERTIFICATEPROPERTY_IDENTIFICATION_CODE</v>
      </c>
      <c r="B114" s="142" t="s">
        <v>26</v>
      </c>
      <c r="C114" s="138" t="s">
        <v>54</v>
      </c>
      <c r="D114" s="134" t="s">
        <v>40</v>
      </c>
      <c r="E114" s="135" t="s">
        <v>123</v>
      </c>
      <c r="F114" s="134" t="s">
        <v>126</v>
      </c>
      <c r="G114" s="136" t="str">
        <f>VLOOKUP(A114,Plano_V3!$A$26:$G$586,7,0)</f>
        <v>6. Em implementação (re-especificação)</v>
      </c>
      <c r="H114" s="136" t="s">
        <v>619</v>
      </c>
      <c r="I114" s="143"/>
      <c r="J114" s="153">
        <f>IF(VLOOKUP(A114,'Aux - pivots1'!$A:$E,3,0)=0, "",VLOOKUP(A114,'Aux - pivots1'!$A:$E,3,0))</f>
        <v>45562</v>
      </c>
      <c r="K114" s="153">
        <f>IF(VLOOKUP(A114,'Aux - pivots1'!$A:$E,4,0)=0, "",VLOOKUP(A114,'Aux - pivots1'!$A:$E,4,0))</f>
        <v>45607</v>
      </c>
      <c r="L114" s="153" t="str">
        <f>IF(VLOOKUP(A114,'Aux - pivots1'!$A:$E,5,0)=0, "",VLOOKUP(A114,'Aux - pivots1'!$A:$E,5,0))</f>
        <v/>
      </c>
      <c r="M114" s="209"/>
      <c r="N114" s="209"/>
    </row>
    <row r="115" spans="1:14" ht="16.2" hidden="1" customHeight="1">
      <c r="A115" s="30" t="str">
        <f t="shared" si="1"/>
        <v>PROPERTY_ENERGY_CERTIFICATEENERGY_CERTIFICATION_SYSTEM_CODE</v>
      </c>
      <c r="B115" s="142" t="s">
        <v>26</v>
      </c>
      <c r="C115" s="138" t="s">
        <v>54</v>
      </c>
      <c r="D115" s="134" t="s">
        <v>40</v>
      </c>
      <c r="E115" s="135" t="s">
        <v>123</v>
      </c>
      <c r="F115" s="134" t="s">
        <v>127</v>
      </c>
      <c r="G115" s="136" t="str">
        <f>VLOOKUP(A115,Plano_V3!$A$26:$G$586,7,0)</f>
        <v>6. Em implementação (re-especificação)</v>
      </c>
      <c r="H115" s="136" t="s">
        <v>619</v>
      </c>
      <c r="I115" s="143"/>
      <c r="J115" s="153">
        <f>IF(VLOOKUP(A115,'Aux - pivots1'!$A:$E,3,0)=0, "",VLOOKUP(A115,'Aux - pivots1'!$A:$E,3,0))</f>
        <v>45562</v>
      </c>
      <c r="K115" s="153">
        <f>IF(VLOOKUP(A115,'Aux - pivots1'!$A:$E,4,0)=0, "",VLOOKUP(A115,'Aux - pivots1'!$A:$E,4,0))</f>
        <v>45607</v>
      </c>
      <c r="L115" s="153" t="str">
        <f>IF(VLOOKUP(A115,'Aux - pivots1'!$A:$E,5,0)=0, "",VLOOKUP(A115,'Aux - pivots1'!$A:$E,5,0))</f>
        <v/>
      </c>
      <c r="M115" s="209"/>
      <c r="N115" s="209"/>
    </row>
    <row r="116" spans="1:14" ht="16.2" hidden="1" customHeight="1">
      <c r="A116" s="30" t="str">
        <f t="shared" si="1"/>
        <v>PROPERTY_ENERGY_CERTIFICATEEPC_ISSUING_DATE</v>
      </c>
      <c r="B116" s="142" t="s">
        <v>26</v>
      </c>
      <c r="C116" s="138" t="s">
        <v>54</v>
      </c>
      <c r="D116" s="134" t="s">
        <v>40</v>
      </c>
      <c r="E116" s="135" t="s">
        <v>123</v>
      </c>
      <c r="F116" s="134" t="s">
        <v>128</v>
      </c>
      <c r="G116" s="136" t="str">
        <f>VLOOKUP(A116,Plano_V3!$A$26:$G$586,7,0)</f>
        <v>6. Em implementação (re-especificação)</v>
      </c>
      <c r="H116" s="136" t="s">
        <v>619</v>
      </c>
      <c r="I116" s="143"/>
      <c r="J116" s="153">
        <f>IF(VLOOKUP(A116,'Aux - pivots1'!$A:$E,3,0)=0, "",VLOOKUP(A116,'Aux - pivots1'!$A:$E,3,0))</f>
        <v>45562</v>
      </c>
      <c r="K116" s="153">
        <f>IF(VLOOKUP(A116,'Aux - pivots1'!$A:$E,4,0)=0, "",VLOOKUP(A116,'Aux - pivots1'!$A:$E,4,0))</f>
        <v>45607</v>
      </c>
      <c r="L116" s="153" t="str">
        <f>IF(VLOOKUP(A116,'Aux - pivots1'!$A:$E,5,0)=0, "",VLOOKUP(A116,'Aux - pivots1'!$A:$E,5,0))</f>
        <v/>
      </c>
      <c r="M116" s="209"/>
      <c r="N116" s="209"/>
    </row>
    <row r="117" spans="1:14" ht="16.2" hidden="1" customHeight="1">
      <c r="A117" s="30" t="str">
        <f t="shared" si="1"/>
        <v>PROPERTY_ENERGY_CERTIFICATEEPC_EXPIRATION_DATE</v>
      </c>
      <c r="B117" s="142" t="s">
        <v>26</v>
      </c>
      <c r="C117" s="138" t="s">
        <v>54</v>
      </c>
      <c r="D117" s="134" t="s">
        <v>40</v>
      </c>
      <c r="E117" s="135" t="s">
        <v>123</v>
      </c>
      <c r="F117" s="134" t="s">
        <v>129</v>
      </c>
      <c r="G117" s="136" t="str">
        <f>VLOOKUP(A117,Plano_V3!$A$26:$G$586,7,0)</f>
        <v>6. Em implementação (re-especificação)</v>
      </c>
      <c r="H117" s="136" t="s">
        <v>619</v>
      </c>
      <c r="I117" s="143"/>
      <c r="J117" s="153">
        <f>IF(VLOOKUP(A117,'Aux - pivots1'!$A:$E,3,0)=0, "",VLOOKUP(A117,'Aux - pivots1'!$A:$E,3,0))</f>
        <v>45562</v>
      </c>
      <c r="K117" s="153">
        <f>IF(VLOOKUP(A117,'Aux - pivots1'!$A:$E,4,0)=0, "",VLOOKUP(A117,'Aux - pivots1'!$A:$E,4,0))</f>
        <v>45607</v>
      </c>
      <c r="L117" s="153" t="str">
        <f>IF(VLOOKUP(A117,'Aux - pivots1'!$A:$E,5,0)=0, "",VLOOKUP(A117,'Aux - pivots1'!$A:$E,5,0))</f>
        <v/>
      </c>
      <c r="M117" s="209"/>
      <c r="N117" s="209"/>
    </row>
    <row r="118" spans="1:14" ht="16.2" hidden="1" customHeight="1">
      <c r="A118" s="30" t="str">
        <f t="shared" si="1"/>
        <v>PROPERTY_ENERGY_CERTIFICATEEPC</v>
      </c>
      <c r="B118" s="142" t="s">
        <v>26</v>
      </c>
      <c r="C118" s="138" t="s">
        <v>54</v>
      </c>
      <c r="D118" s="134" t="s">
        <v>40</v>
      </c>
      <c r="E118" s="135" t="s">
        <v>123</v>
      </c>
      <c r="F118" s="134" t="s">
        <v>47</v>
      </c>
      <c r="G118" s="136" t="str">
        <f>VLOOKUP(A118,Plano_V3!$A$26:$G$586,7,0)</f>
        <v>6. Em implementação (re-especificação)</v>
      </c>
      <c r="H118" s="136" t="s">
        <v>619</v>
      </c>
      <c r="I118" s="143"/>
      <c r="J118" s="153">
        <f>IF(VLOOKUP(A118,'Aux - pivots1'!$A:$E,3,0)=0, "",VLOOKUP(A118,'Aux - pivots1'!$A:$E,3,0))</f>
        <v>45562</v>
      </c>
      <c r="K118" s="153">
        <f>IF(VLOOKUP(A118,'Aux - pivots1'!$A:$E,4,0)=0, "",VLOOKUP(A118,'Aux - pivots1'!$A:$E,4,0))</f>
        <v>45607</v>
      </c>
      <c r="L118" s="153" t="str">
        <f>IF(VLOOKUP(A118,'Aux - pivots1'!$A:$E,5,0)=0, "",VLOOKUP(A118,'Aux - pivots1'!$A:$E,5,0))</f>
        <v/>
      </c>
      <c r="M118" s="209"/>
      <c r="N118" s="209"/>
    </row>
    <row r="119" spans="1:14" ht="16.2" hidden="1" customHeight="1">
      <c r="A119" s="30" t="str">
        <f t="shared" si="1"/>
        <v>PROPERTY_ENERGY_CERTIFICATEENERGY_CONSUMPTION_TYPE_S_IND</v>
      </c>
      <c r="B119" s="142" t="s">
        <v>26</v>
      </c>
      <c r="C119" s="138" t="s">
        <v>54</v>
      </c>
      <c r="D119" s="134" t="s">
        <v>40</v>
      </c>
      <c r="E119" s="135" t="s">
        <v>123</v>
      </c>
      <c r="F119" s="134" t="s">
        <v>130</v>
      </c>
      <c r="G119" s="136" t="str">
        <f>VLOOKUP(A119,Plano_V3!$A$26:$G$586,7,0)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PROPERTY_ENERGY_CERTIFICATEENERGY_CONSUMPTION_TYPE_T_IND</v>
      </c>
      <c r="B120" s="142" t="s">
        <v>26</v>
      </c>
      <c r="C120" s="138" t="s">
        <v>54</v>
      </c>
      <c r="D120" s="134" t="s">
        <v>40</v>
      </c>
      <c r="E120" s="135" t="s">
        <v>123</v>
      </c>
      <c r="F120" s="134" t="s">
        <v>131</v>
      </c>
      <c r="G120" s="136" t="str">
        <f>VLOOKUP(A120,Plano_V3!$A$26:$G$586,7,0)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PROPERTY_ENERGY_CERTIFICATEENERGY_EFFICIENCY_IND</v>
      </c>
      <c r="B121" s="142" t="s">
        <v>26</v>
      </c>
      <c r="C121" s="138" t="s">
        <v>54</v>
      </c>
      <c r="D121" s="134" t="s">
        <v>40</v>
      </c>
      <c r="E121" s="135" t="s">
        <v>123</v>
      </c>
      <c r="F121" s="134" t="s">
        <v>132</v>
      </c>
      <c r="G121" s="136" t="str">
        <f>VLOOKUP(A121,Plano_V3!$A$26:$G$586,7,0)</f>
        <v>6. Em implementação (re-especificação)</v>
      </c>
      <c r="H121" s="136" t="s">
        <v>619</v>
      </c>
      <c r="I121" s="143"/>
      <c r="J121" s="153">
        <f>IF(VLOOKUP(A121,'Aux - pivots1'!$A:$E,3,0)=0, "",VLOOKUP(A121,'Aux - pivots1'!$A:$E,3,0))</f>
        <v>45562</v>
      </c>
      <c r="K121" s="153">
        <f>IF(VLOOKUP(A121,'Aux - pivots1'!$A:$E,4,0)=0, "",VLOOKUP(A121,'Aux - pivots1'!$A:$E,4,0))</f>
        <v>45607</v>
      </c>
      <c r="L121" s="153" t="str">
        <f>IF(VLOOKUP(A121,'Aux - pivots1'!$A:$E,5,0)=0, "",VLOOKUP(A121,'Aux - pivots1'!$A:$E,5,0))</f>
        <v/>
      </c>
      <c r="M121" s="209"/>
      <c r="N121" s="209"/>
    </row>
    <row r="122" spans="1:14" ht="16.2" hidden="1" customHeight="1">
      <c r="A122" s="30" t="str">
        <f t="shared" si="1"/>
        <v>PROPERTY_ENERGY_CERTIFICATEREN_ENERGY_EFFICIENCY_IND</v>
      </c>
      <c r="B122" s="142" t="s">
        <v>26</v>
      </c>
      <c r="C122" s="138" t="s">
        <v>54</v>
      </c>
      <c r="D122" s="134" t="s">
        <v>40</v>
      </c>
      <c r="E122" s="135" t="s">
        <v>123</v>
      </c>
      <c r="F122" s="134" t="s">
        <v>133</v>
      </c>
      <c r="G122" s="136" t="str">
        <f>VLOOKUP(A122,Plano_V3!$A$26:$G$586,7,0)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PROPERTY_ENERGY_CERTIFICATENZEB_IND</v>
      </c>
      <c r="B123" s="142" t="s">
        <v>26</v>
      </c>
      <c r="C123" s="138" t="s">
        <v>54</v>
      </c>
      <c r="D123" s="134" t="s">
        <v>40</v>
      </c>
      <c r="E123" s="135" t="s">
        <v>123</v>
      </c>
      <c r="F123" s="134" t="s">
        <v>134</v>
      </c>
      <c r="G123" s="136" t="str">
        <f>VLOOKUP(A123,Plano_V3!$A$26:$G$586,7,0)</f>
        <v>6. Em implementação (re-especificação)</v>
      </c>
      <c r="H123" s="136" t="s">
        <v>619</v>
      </c>
      <c r="I123" s="143"/>
      <c r="J123" s="153">
        <f>IF(VLOOKUP(A123,'Aux - pivots1'!$A:$E,3,0)=0, "",VLOOKUP(A123,'Aux - pivots1'!$A:$E,3,0))</f>
        <v>45562</v>
      </c>
      <c r="K123" s="153">
        <f>IF(VLOOKUP(A123,'Aux - pivots1'!$A:$E,4,0)=0, "",VLOOKUP(A123,'Aux - pivots1'!$A:$E,4,0))</f>
        <v>45607</v>
      </c>
      <c r="L123" s="153" t="str">
        <f>IF(VLOOKUP(A123,'Aux - pivots1'!$A:$E,5,0)=0, "",VLOOKUP(A123,'Aux - pivots1'!$A:$E,5,0))</f>
        <v/>
      </c>
      <c r="M123" s="209"/>
      <c r="N123" s="209"/>
    </row>
    <row r="124" spans="1:14" ht="16.2" hidden="1" customHeight="1">
      <c r="A124" s="30" t="str">
        <f t="shared" si="1"/>
        <v>PROPERTY_ENERGY_CERTIFICATEACTUAL_VALUE_IND</v>
      </c>
      <c r="B124" s="142" t="s">
        <v>26</v>
      </c>
      <c r="C124" s="138" t="s">
        <v>54</v>
      </c>
      <c r="D124" s="134" t="s">
        <v>40</v>
      </c>
      <c r="E124" s="135" t="s">
        <v>123</v>
      </c>
      <c r="F124" s="134" t="s">
        <v>49</v>
      </c>
      <c r="G124" s="136" t="str">
        <f>VLOOKUP(A124,Plano_V3!$A$26:$G$586,7,0)</f>
        <v>6. Em implementação (re-especificação)</v>
      </c>
      <c r="H124" s="136" t="s">
        <v>619</v>
      </c>
      <c r="I124" s="143"/>
      <c r="J124" s="153">
        <f>IF(VLOOKUP(A124,'Aux - pivots1'!$A:$E,3,0)=0, "",VLOOKUP(A124,'Aux - pivots1'!$A:$E,3,0))</f>
        <v>45562</v>
      </c>
      <c r="K124" s="153">
        <f>IF(VLOOKUP(A124,'Aux - pivots1'!$A:$E,4,0)=0, "",VLOOKUP(A124,'Aux - pivots1'!$A:$E,4,0))</f>
        <v>45607</v>
      </c>
      <c r="L124" s="153" t="str">
        <f>IF(VLOOKUP(A124,'Aux - pivots1'!$A:$E,5,0)=0, "",VLOOKUP(A124,'Aux - pivots1'!$A:$E,5,0))</f>
        <v/>
      </c>
      <c r="M124" s="209"/>
      <c r="N124" s="209"/>
    </row>
    <row r="125" spans="1:14" ht="16.2" hidden="1" customHeight="1">
      <c r="A125" s="30" t="str">
        <f t="shared" si="1"/>
        <v>PROPERTY_ENERGY_CERTIFICATEEP_SCORE</v>
      </c>
      <c r="B125" s="142" t="s">
        <v>26</v>
      </c>
      <c r="C125" s="138" t="s">
        <v>54</v>
      </c>
      <c r="D125" s="134" t="s">
        <v>40</v>
      </c>
      <c r="E125" s="135" t="s">
        <v>123</v>
      </c>
      <c r="F125" s="134" t="s">
        <v>135</v>
      </c>
      <c r="G125" s="136" t="str">
        <f>VLOOKUP(A125,Plano_V3!$A$26:$G$586,7,0)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PROPERTY_ENERGY_CERTIFICATESOURCE_CODE</v>
      </c>
      <c r="B126" s="142" t="s">
        <v>26</v>
      </c>
      <c r="C126" s="138" t="s">
        <v>54</v>
      </c>
      <c r="D126" s="134" t="s">
        <v>40</v>
      </c>
      <c r="E126" s="135" t="s">
        <v>123</v>
      </c>
      <c r="F126" s="134" t="s">
        <v>87</v>
      </c>
      <c r="G126" s="136" t="str">
        <f>VLOOKUP(A126,Plano_V3!$A$26:$G$586,7,0)</f>
        <v>6. Em implementação (re-especificação)</v>
      </c>
      <c r="H126" s="136" t="s">
        <v>619</v>
      </c>
      <c r="I126" s="143"/>
      <c r="J126" s="153">
        <f>IF(VLOOKUP(A126,'Aux - pivots1'!$A:$E,3,0)=0, "",VLOOKUP(A126,'Aux - pivots1'!$A:$E,3,0))</f>
        <v>45562</v>
      </c>
      <c r="K126" s="153">
        <f>IF(VLOOKUP(A126,'Aux - pivots1'!$A:$E,4,0)=0, "",VLOOKUP(A126,'Aux - pivots1'!$A:$E,4,0))</f>
        <v>45607</v>
      </c>
      <c r="L126" s="153" t="str">
        <f>IF(VLOOKUP(A126,'Aux - pivots1'!$A:$E,5,0)=0, "",VLOOKUP(A126,'Aux - pivots1'!$A:$E,5,0))</f>
        <v/>
      </c>
      <c r="M126" s="209"/>
      <c r="N126" s="209"/>
    </row>
    <row r="127" spans="1:14" ht="16.2" hidden="1" customHeight="1">
      <c r="A127" s="30" t="str">
        <f t="shared" si="1"/>
        <v>PROPERTY_ENERGY_CERTIFICATEDATA_DATE_PART</v>
      </c>
      <c r="B127" s="142" t="s">
        <v>26</v>
      </c>
      <c r="C127" s="138" t="s">
        <v>54</v>
      </c>
      <c r="D127" s="134" t="s">
        <v>40</v>
      </c>
      <c r="E127" s="135" t="s">
        <v>123</v>
      </c>
      <c r="F127" s="134" t="s">
        <v>73</v>
      </c>
      <c r="G127" s="136" t="str">
        <f>VLOOKUP(A127,Plano_V3!$A$26:$G$586,7,0)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PROPERTY_ENERGY_CERTIFICATECERTIFICATE_TYPE</v>
      </c>
      <c r="B128" s="142" t="s">
        <v>26</v>
      </c>
      <c r="C128" s="138" t="s">
        <v>54</v>
      </c>
      <c r="D128" s="134" t="s">
        <v>40</v>
      </c>
      <c r="E128" s="135" t="s">
        <v>123</v>
      </c>
      <c r="F128" s="134" t="s">
        <v>136</v>
      </c>
      <c r="G128" s="136" t="str">
        <f>VLOOKUP(A128,Plano_V3!$A$26:$G$586,7,0)</f>
        <v>6. Em implementação (re-especificação)</v>
      </c>
      <c r="H128" s="136" t="s">
        <v>619</v>
      </c>
      <c r="I128" s="143"/>
      <c r="J128" s="153">
        <f>IF(VLOOKUP(A128,'Aux - pivots1'!$A:$E,3,0)=0, "",VLOOKUP(A128,'Aux - pivots1'!$A:$E,3,0))</f>
        <v>45562</v>
      </c>
      <c r="K128" s="153">
        <f>IF(VLOOKUP(A128,'Aux - pivots1'!$A:$E,4,0)=0, "",VLOOKUP(A128,'Aux - pivots1'!$A:$E,4,0))</f>
        <v>45607</v>
      </c>
      <c r="L128" s="153" t="str">
        <f>IF(VLOOKUP(A128,'Aux - pivots1'!$A:$E,5,0)=0, "",VLOOKUP(A128,'Aux - pivots1'!$A:$E,5,0))</f>
        <v/>
      </c>
      <c r="M128" s="209"/>
      <c r="N128" s="209"/>
    </row>
    <row r="129" spans="1:14" ht="16.2" hidden="1" customHeight="1">
      <c r="A129" s="30" t="str">
        <f t="shared" si="1"/>
        <v>PROPERTY_ENERGY_CERTIFICATEBUILDING_DOMEST_HOTWATER_VALUE</v>
      </c>
      <c r="B129" s="142" t="s">
        <v>26</v>
      </c>
      <c r="C129" s="138" t="s">
        <v>54</v>
      </c>
      <c r="D129" s="134" t="s">
        <v>40</v>
      </c>
      <c r="E129" s="135" t="s">
        <v>123</v>
      </c>
      <c r="F129" s="134" t="s">
        <v>137</v>
      </c>
      <c r="G129" s="136" t="str">
        <f>VLOOKUP(A129,Plano_V3!$A$26:$G$586,7,0)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PROPERTY_ENERGY_CERTIFICATERENEWABLE_DOMEST_HOTWATER_VALUE</v>
      </c>
      <c r="B130" s="142" t="s">
        <v>26</v>
      </c>
      <c r="C130" s="138" t="s">
        <v>54</v>
      </c>
      <c r="D130" s="134" t="s">
        <v>40</v>
      </c>
      <c r="E130" s="135" t="s">
        <v>123</v>
      </c>
      <c r="F130" s="134" t="s">
        <v>138</v>
      </c>
      <c r="G130" s="136" t="str">
        <f>VLOOKUP(A130,Plano_V3!$A$26:$G$586,7,0)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PROPERTY_ENERGY_CERTIFICATEDOMEST_HOTWATER_REF_VALUE</v>
      </c>
      <c r="B131" s="142" t="s">
        <v>26</v>
      </c>
      <c r="C131" s="138" t="s">
        <v>54</v>
      </c>
      <c r="D131" s="134" t="s">
        <v>40</v>
      </c>
      <c r="E131" s="135" t="s">
        <v>123</v>
      </c>
      <c r="F131" s="134" t="s">
        <v>139</v>
      </c>
      <c r="G131" s="136" t="str">
        <f>VLOOKUP(A131,Plano_V3!$A$26:$G$586,7,0)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PROPERTY_ENERGY_CERTIFICATEHEIGHT</v>
      </c>
      <c r="B132" s="142" t="s">
        <v>26</v>
      </c>
      <c r="C132" s="138" t="s">
        <v>54</v>
      </c>
      <c r="D132" s="134" t="s">
        <v>40</v>
      </c>
      <c r="E132" s="135" t="s">
        <v>123</v>
      </c>
      <c r="F132" s="134" t="s">
        <v>140</v>
      </c>
      <c r="G132" s="136" t="str">
        <f>VLOOKUP(A132,Plano_V3!$A$26:$G$586,7,0)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PROPERTY_ENERGY_CERTIFICATEBUILDING_SPACE_HEATING_VALUE</v>
      </c>
      <c r="B133" s="142" t="s">
        <v>26</v>
      </c>
      <c r="C133" s="138" t="s">
        <v>54</v>
      </c>
      <c r="D133" s="134" t="s">
        <v>40</v>
      </c>
      <c r="E133" s="135" t="s">
        <v>123</v>
      </c>
      <c r="F133" s="134" t="s">
        <v>141</v>
      </c>
      <c r="G133" s="136" t="str">
        <f>VLOOKUP(A133,Plano_V3!$A$26:$G$586,7,0)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PROPERTY_ENERGY_CERTIFICATESPACE_HEATING_REF_VALUE</v>
      </c>
      <c r="B134" s="142" t="s">
        <v>26</v>
      </c>
      <c r="C134" s="138" t="s">
        <v>54</v>
      </c>
      <c r="D134" s="134" t="s">
        <v>40</v>
      </c>
      <c r="E134" s="135" t="s">
        <v>123</v>
      </c>
      <c r="F134" s="134" t="s">
        <v>142</v>
      </c>
      <c r="G134" s="136" t="str">
        <f>VLOOKUP(A134,Plano_V3!$A$26:$G$586,7,0)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PROPERTY_ENERGY_CERTIFICATERENEWABLE_SPACE_HEATING_VALUE</v>
      </c>
      <c r="B135" s="142" t="s">
        <v>26</v>
      </c>
      <c r="C135" s="138" t="s">
        <v>54</v>
      </c>
      <c r="D135" s="134" t="s">
        <v>40</v>
      </c>
      <c r="E135" s="135" t="s">
        <v>123</v>
      </c>
      <c r="F135" s="134" t="s">
        <v>143</v>
      </c>
      <c r="G135" s="136" t="str">
        <f>VLOOKUP(A135,Plano_V3!$A$26:$G$586,7,0)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ref="A136:A206" si="2">E136&amp;F136</f>
        <v>PROPERTY_ENERGY_CERTIFICATEBUILDING_SPACE_COOLING_VALUE</v>
      </c>
      <c r="B136" s="142" t="s">
        <v>26</v>
      </c>
      <c r="C136" s="138" t="s">
        <v>54</v>
      </c>
      <c r="D136" s="134" t="s">
        <v>40</v>
      </c>
      <c r="E136" s="135" t="s">
        <v>123</v>
      </c>
      <c r="F136" s="134" t="s">
        <v>144</v>
      </c>
      <c r="G136" s="136" t="str">
        <f>VLOOKUP(A136,Plano_V3!$A$26:$G$586,7,0)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si="2"/>
        <v>PROPERTY_ENERGY_CERTIFICATERENEWABLE_SPACE_COOLING_VALUE</v>
      </c>
      <c r="B137" s="142" t="s">
        <v>26</v>
      </c>
      <c r="C137" s="138" t="s">
        <v>54</v>
      </c>
      <c r="D137" s="134" t="s">
        <v>40</v>
      </c>
      <c r="E137" s="135" t="s">
        <v>123</v>
      </c>
      <c r="F137" s="134" t="s">
        <v>145</v>
      </c>
      <c r="G137" s="136" t="str">
        <f>VLOOKUP(A137,Plano_V3!$A$26:$G$586,7,0)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PROPERTY_ENERGY_CERTIFICATESPACE_COOLING_REF_VALUE</v>
      </c>
      <c r="B138" s="142" t="s">
        <v>26</v>
      </c>
      <c r="C138" s="138" t="s">
        <v>54</v>
      </c>
      <c r="D138" s="134" t="s">
        <v>40</v>
      </c>
      <c r="E138" s="135" t="s">
        <v>123</v>
      </c>
      <c r="F138" s="134" t="s">
        <v>146</v>
      </c>
      <c r="G138" s="136" t="str">
        <f>VLOOKUP(A138,Plano_V3!$A$26:$G$586,7,0)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PROPERTY_ENERGY_CERTIFICATEENERGY_CLASS_AFTER_MEASUREMENT</v>
      </c>
      <c r="B139" s="142" t="s">
        <v>26</v>
      </c>
      <c r="C139" s="138" t="s">
        <v>54</v>
      </c>
      <c r="D139" s="134" t="s">
        <v>40</v>
      </c>
      <c r="E139" s="135" t="s">
        <v>123</v>
      </c>
      <c r="F139" s="134" t="s">
        <v>147</v>
      </c>
      <c r="G139" s="136" t="str">
        <f>VLOOKUP(A139,Plano_V3!$A$26:$G$586,7,0)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PROPERTY_ENERGY_CERTIFICATEENERGY_CONSUMPTION_VALUE_YEAR</v>
      </c>
      <c r="B140" s="142" t="s">
        <v>26</v>
      </c>
      <c r="C140" s="138" t="s">
        <v>54</v>
      </c>
      <c r="D140" s="134" t="s">
        <v>40</v>
      </c>
      <c r="E140" s="135" t="s">
        <v>123</v>
      </c>
      <c r="F140" s="134" t="s">
        <v>51</v>
      </c>
      <c r="G140" s="136" t="str">
        <f>VLOOKUP(A140,Plano_V3!$A$26:$G$586,7,0)</f>
        <v>6. Em implementação (re-especificação)</v>
      </c>
      <c r="H140" s="136" t="s">
        <v>619</v>
      </c>
      <c r="I140" s="143"/>
      <c r="J140" s="153">
        <f>IF(VLOOKUP(A140,'Aux - pivots1'!$A:$E,3,0)=0, "",VLOOKUP(A140,'Aux - pivots1'!$A:$E,3,0))</f>
        <v>45562</v>
      </c>
      <c r="K140" s="153">
        <f>IF(VLOOKUP(A140,'Aux - pivots1'!$A:$E,4,0)=0, "",VLOOKUP(A140,'Aux - pivots1'!$A:$E,4,0))</f>
        <v>45607</v>
      </c>
      <c r="L140" s="153" t="str">
        <f>IF(VLOOKUP(A140,'Aux - pivots1'!$A:$E,5,0)=0, "",VLOOKUP(A140,'Aux - pivots1'!$A:$E,5,0))</f>
        <v/>
      </c>
      <c r="M140" s="209"/>
      <c r="N140" s="209"/>
    </row>
    <row r="141" spans="1:14" ht="16.2" hidden="1" customHeight="1">
      <c r="A141" s="30" t="str">
        <f t="shared" si="2"/>
        <v>PROPERTY_ENERGY_CERTIFICATETHERMAL_BEHAVIOUR_ROOF</v>
      </c>
      <c r="B141" s="142" t="s">
        <v>26</v>
      </c>
      <c r="C141" s="138" t="s">
        <v>54</v>
      </c>
      <c r="D141" s="134" t="s">
        <v>40</v>
      </c>
      <c r="E141" s="135" t="s">
        <v>123</v>
      </c>
      <c r="F141" s="134" t="s">
        <v>148</v>
      </c>
      <c r="G141" s="136" t="str">
        <f>VLOOKUP(A141,Plano_V3!$A$26:$G$586,7,0)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PROPERTY_ENERGY_CERTIFICATETHERMAL_BEHAVIOUR_WINDOWS</v>
      </c>
      <c r="B142" s="142" t="s">
        <v>26</v>
      </c>
      <c r="C142" s="138" t="s">
        <v>54</v>
      </c>
      <c r="D142" s="134" t="s">
        <v>40</v>
      </c>
      <c r="E142" s="135" t="s">
        <v>123</v>
      </c>
      <c r="F142" s="134" t="s">
        <v>149</v>
      </c>
      <c r="G142" s="136" t="str">
        <f>VLOOKUP(A142,Plano_V3!$A$26:$G$586,7,0)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PROPERTY_ENERGY_CERTIFICATETHERMAL_BEHAVIOUR_WALL</v>
      </c>
      <c r="B143" s="142" t="s">
        <v>26</v>
      </c>
      <c r="C143" s="138" t="s">
        <v>54</v>
      </c>
      <c r="D143" s="134" t="s">
        <v>40</v>
      </c>
      <c r="E143" s="135" t="s">
        <v>123</v>
      </c>
      <c r="F143" s="134" t="s">
        <v>150</v>
      </c>
      <c r="G143" s="136" t="str">
        <f>VLOOKUP(A143,Plano_V3!$A$26:$G$586,7,0)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PROPERTY_ENERGY_CERTIFICATETHERMAL_BEHAVIOUR_FLOORS</v>
      </c>
      <c r="B144" s="142" t="s">
        <v>26</v>
      </c>
      <c r="C144" s="138" t="s">
        <v>54</v>
      </c>
      <c r="D144" s="134" t="s">
        <v>40</v>
      </c>
      <c r="E144" s="135" t="s">
        <v>123</v>
      </c>
      <c r="F144" s="134" t="s">
        <v>151</v>
      </c>
      <c r="G144" s="136" t="str">
        <f>VLOOKUP(A144,Plano_V3!$A$26:$G$586,7,0)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PROPERTY_ENERGY_CERTIFICATETHERMAL_BEHAVIOUR_TECH_SYS_VENT</v>
      </c>
      <c r="B145" s="142" t="s">
        <v>26</v>
      </c>
      <c r="C145" s="138" t="s">
        <v>54</v>
      </c>
      <c r="D145" s="134" t="s">
        <v>40</v>
      </c>
      <c r="E145" s="135" t="s">
        <v>123</v>
      </c>
      <c r="F145" s="134" t="s">
        <v>152</v>
      </c>
      <c r="G145" s="136" t="str">
        <f>VLOOKUP(A145,Plano_V3!$A$26:$G$586,7,0)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PROPERTY_ENERGY_CERTIFICATETOTAL_INVSTMNT_ESTMTD_VALUE</v>
      </c>
      <c r="B146" s="142" t="s">
        <v>26</v>
      </c>
      <c r="C146" s="138" t="s">
        <v>54</v>
      </c>
      <c r="D146" s="134" t="s">
        <v>40</v>
      </c>
      <c r="E146" s="135" t="s">
        <v>123</v>
      </c>
      <c r="F146" s="134" t="s">
        <v>153</v>
      </c>
      <c r="G146" s="136" t="str">
        <f>VLOOKUP(A146,Plano_V3!$A$26:$G$586,7,0)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PROPERTY_ENERGY_CERTIFICATEDURATION_SUMMER</v>
      </c>
      <c r="B147" s="142" t="s">
        <v>26</v>
      </c>
      <c r="C147" s="138" t="s">
        <v>54</v>
      </c>
      <c r="D147" s="134" t="s">
        <v>40</v>
      </c>
      <c r="E147" s="135" t="s">
        <v>123</v>
      </c>
      <c r="F147" s="134" t="s">
        <v>154</v>
      </c>
      <c r="G147" s="136" t="str">
        <f>VLOOKUP(A147,Plano_V3!$A$26:$G$586,7,0)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PROPERTY_ENERGY_CERTIFICATEDURATION_WINTER</v>
      </c>
      <c r="B148" s="142" t="s">
        <v>26</v>
      </c>
      <c r="C148" s="138" t="s">
        <v>54</v>
      </c>
      <c r="D148" s="134" t="s">
        <v>40</v>
      </c>
      <c r="E148" s="135" t="s">
        <v>123</v>
      </c>
      <c r="F148" s="134" t="s">
        <v>155</v>
      </c>
      <c r="G148" s="136" t="str">
        <f>VLOOKUP(A148,Plano_V3!$A$26:$G$586,7,0)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PROPERTY_ENERGY_CERTIFICATECARBON_EMISSION_VALUE_YEAR</v>
      </c>
      <c r="B149" s="142" t="s">
        <v>26</v>
      </c>
      <c r="C149" s="138" t="s">
        <v>54</v>
      </c>
      <c r="D149" s="134" t="s">
        <v>40</v>
      </c>
      <c r="E149" s="135" t="s">
        <v>123</v>
      </c>
      <c r="F149" s="134" t="s">
        <v>52</v>
      </c>
      <c r="G149" s="136" t="str">
        <f>VLOOKUP(A149,Plano_V3!$A$26:$G$586,7,0)</f>
        <v>6. Em implementação (re-especificação)</v>
      </c>
      <c r="H149" s="136" t="s">
        <v>619</v>
      </c>
      <c r="I149" s="143"/>
      <c r="J149" s="153">
        <f>IF(VLOOKUP(A149,'Aux - pivots1'!$A:$E,3,0)=0, "",VLOOKUP(A149,'Aux - pivots1'!$A:$E,3,0))</f>
        <v>45562</v>
      </c>
      <c r="K149" s="153">
        <f>IF(VLOOKUP(A149,'Aux - pivots1'!$A:$E,4,0)=0, "",VLOOKUP(A149,'Aux - pivots1'!$A:$E,4,0))</f>
        <v>45607</v>
      </c>
      <c r="L149" s="153" t="str">
        <f>IF(VLOOKUP(A149,'Aux - pivots1'!$A:$E,5,0)=0, "",VLOOKUP(A149,'Aux - pivots1'!$A:$E,5,0))</f>
        <v/>
      </c>
      <c r="M149" s="209"/>
      <c r="N149" s="209"/>
    </row>
    <row r="150" spans="1:14" ht="16.2" hidden="1" customHeight="1">
      <c r="A150" s="30" t="str">
        <f t="shared" si="2"/>
        <v>PROPERTY_ENERGY_CERTIFICATECARBON_EMISSION_VALUE</v>
      </c>
      <c r="B150" s="142" t="s">
        <v>26</v>
      </c>
      <c r="C150" s="138" t="s">
        <v>54</v>
      </c>
      <c r="D150" s="134" t="s">
        <v>40</v>
      </c>
      <c r="E150" s="135" t="s">
        <v>123</v>
      </c>
      <c r="F150" s="134" t="s">
        <v>156</v>
      </c>
      <c r="G150" s="136" t="str">
        <f>VLOOKUP(A150,Plano_V3!$A$26:$G$586,7,0)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PROPERTY_ENERGY_CERTIFICATEUSEFUL_ENERGY_FANS_REQ_VALUE</v>
      </c>
      <c r="B151" s="142" t="s">
        <v>26</v>
      </c>
      <c r="C151" s="138" t="s">
        <v>54</v>
      </c>
      <c r="D151" s="134" t="s">
        <v>40</v>
      </c>
      <c r="E151" s="135" t="s">
        <v>123</v>
      </c>
      <c r="F151" s="134" t="s">
        <v>157</v>
      </c>
      <c r="G151" s="136" t="str">
        <f>VLOOKUP(A151,Plano_V3!$A$26:$G$586,7,0)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PROPERTY_ENERGY_CERTIFICATEREN_ENERGY_PRODUCED_OTHER_VALUE</v>
      </c>
      <c r="B152" s="142" t="s">
        <v>26</v>
      </c>
      <c r="C152" s="138" t="s">
        <v>54</v>
      </c>
      <c r="D152" s="134" t="s">
        <v>40</v>
      </c>
      <c r="E152" s="135" t="s">
        <v>123</v>
      </c>
      <c r="F152" s="134" t="s">
        <v>158</v>
      </c>
      <c r="G152" s="136" t="str">
        <f>VLOOKUP(A152,Plano_V3!$A$26:$G$586,7,0)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PROPERTY_ENERGY_CERTIFICATEREN_ENERGY_PRODUCED_REG_VALUE</v>
      </c>
      <c r="B153" s="142" t="s">
        <v>26</v>
      </c>
      <c r="C153" s="138" t="s">
        <v>54</v>
      </c>
      <c r="D153" s="134" t="s">
        <v>40</v>
      </c>
      <c r="E153" s="135" t="s">
        <v>123</v>
      </c>
      <c r="F153" s="134" t="s">
        <v>159</v>
      </c>
      <c r="G153" s="136" t="str">
        <f>VLOOKUP(A153,Plano_V3!$A$26:$G$586,7,0)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PROPERTY_ENERGY_CERTIFICATEREN_ENERGY_PRODUCED_VALUE</v>
      </c>
      <c r="B154" s="142" t="s">
        <v>26</v>
      </c>
      <c r="C154" s="138" t="s">
        <v>54</v>
      </c>
      <c r="D154" s="134" t="s">
        <v>40</v>
      </c>
      <c r="E154" s="135" t="s">
        <v>123</v>
      </c>
      <c r="F154" s="134" t="s">
        <v>160</v>
      </c>
      <c r="G154" s="136" t="str">
        <f>VLOOKUP(A154,Plano_V3!$A$26:$G$586,7,0)</f>
        <v>6. Em implementação (re-especificação)</v>
      </c>
      <c r="H154" s="136" t="s">
        <v>619</v>
      </c>
      <c r="I154" s="143"/>
      <c r="J154" s="153">
        <f>IF(VLOOKUP(A154,'Aux - pivots1'!$A:$E,3,0)=0, "",VLOOKUP(A154,'Aux - pivots1'!$A:$E,3,0))</f>
        <v>45562</v>
      </c>
      <c r="K154" s="153">
        <f>IF(VLOOKUP(A154,'Aux - pivots1'!$A:$E,4,0)=0, "",VLOOKUP(A154,'Aux - pivots1'!$A:$E,4,0))</f>
        <v>45607</v>
      </c>
      <c r="L154" s="153" t="str">
        <f>IF(VLOOKUP(A154,'Aux - pivots1'!$A:$E,5,0)=0, "",VLOOKUP(A154,'Aux - pivots1'!$A:$E,5,0))</f>
        <v/>
      </c>
      <c r="M154" s="209"/>
      <c r="N154" s="209"/>
    </row>
    <row r="155" spans="1:14" ht="16.2" hidden="1" customHeight="1">
      <c r="A155" s="30" t="str">
        <f t="shared" si="2"/>
        <v>PROPERTY_ENERGY_CERTIFICATEUSEFUL_ENERGY_DOM_HOTWATER_VALUE</v>
      </c>
      <c r="B155" s="142" t="s">
        <v>26</v>
      </c>
      <c r="C155" s="138" t="s">
        <v>54</v>
      </c>
      <c r="D155" s="134" t="s">
        <v>40</v>
      </c>
      <c r="E155" s="135" t="s">
        <v>123</v>
      </c>
      <c r="F155" s="134" t="s">
        <v>161</v>
      </c>
      <c r="G155" s="136" t="str">
        <f>VLOOKUP(A155,Plano_V3!$A$26:$G$586,7,0)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PROPERTY_ENERGY_CERTIFICATEUSEFUL_ENERGY_COOLING_VALUE</v>
      </c>
      <c r="B156" s="142" t="s">
        <v>26</v>
      </c>
      <c r="C156" s="138" t="s">
        <v>54</v>
      </c>
      <c r="D156" s="134" t="s">
        <v>40</v>
      </c>
      <c r="E156" s="135" t="s">
        <v>123</v>
      </c>
      <c r="F156" s="134" t="s">
        <v>162</v>
      </c>
      <c r="G156" s="136" t="str">
        <f>VLOOKUP(A156,Plano_V3!$A$26:$G$586,7,0)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PROPERTY_ENERGY_CERTIFICATETEMPERATURE_DAY_VALUE</v>
      </c>
      <c r="B157" s="142" t="s">
        <v>26</v>
      </c>
      <c r="C157" s="138" t="s">
        <v>54</v>
      </c>
      <c r="D157" s="134" t="s">
        <v>40</v>
      </c>
      <c r="E157" s="135" t="s">
        <v>123</v>
      </c>
      <c r="F157" s="134" t="s">
        <v>163</v>
      </c>
      <c r="G157" s="136" t="str">
        <f>VLOOKUP(A157,Plano_V3!$A$26:$G$586,7,0)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PROPERTY_ENERGY_CERTIFICATEPRIMARY_ENERGY_REQ_VALUE</v>
      </c>
      <c r="B158" s="142" t="s">
        <v>26</v>
      </c>
      <c r="C158" s="138" t="s">
        <v>54</v>
      </c>
      <c r="D158" s="134" t="s">
        <v>40</v>
      </c>
      <c r="E158" s="135" t="s">
        <v>123</v>
      </c>
      <c r="F158" s="134" t="s">
        <v>164</v>
      </c>
      <c r="G158" s="136" t="str">
        <f>VLOOKUP(A158,Plano_V3!$A$26:$G$586,7,0)</f>
        <v>6. Em implementação (re-especificação)</v>
      </c>
      <c r="H158" s="136" t="s">
        <v>619</v>
      </c>
      <c r="I158" s="143"/>
      <c r="J158" s="153">
        <f>IF(VLOOKUP(A158,'Aux - pivots1'!$A:$E,3,0)=0, "",VLOOKUP(A158,'Aux - pivots1'!$A:$E,3,0))</f>
        <v>45562</v>
      </c>
      <c r="K158" s="153">
        <f>IF(VLOOKUP(A158,'Aux - pivots1'!$A:$E,4,0)=0, "",VLOOKUP(A158,'Aux - pivots1'!$A:$E,4,0))</f>
        <v>45607</v>
      </c>
      <c r="L158" s="153" t="str">
        <f>IF(VLOOKUP(A158,'Aux - pivots1'!$A:$E,5,0)=0, "",VLOOKUP(A158,'Aux - pivots1'!$A:$E,5,0))</f>
        <v/>
      </c>
      <c r="M158" s="209"/>
      <c r="N158" s="209"/>
    </row>
    <row r="159" spans="1:14" ht="16.2" hidden="1" customHeight="1">
      <c r="A159" s="30" t="str">
        <f t="shared" si="2"/>
        <v>PROPERTY_ENERGY_CERTIFICATEUSEFUL_ENERGY_HEATING_REQ_VALUE</v>
      </c>
      <c r="B159" s="142" t="s">
        <v>26</v>
      </c>
      <c r="C159" s="138" t="s">
        <v>54</v>
      </c>
      <c r="D159" s="134" t="s">
        <v>40</v>
      </c>
      <c r="E159" s="135" t="s">
        <v>123</v>
      </c>
      <c r="F159" s="134" t="s">
        <v>165</v>
      </c>
      <c r="G159" s="136" t="str">
        <f>VLOOKUP(A159,Plano_V3!$A$26:$G$586,7,0)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PROPERTY_ENERGY_CERTIFICATEPNL_WINTER_WALLS_DOORS_VALUE</v>
      </c>
      <c r="B160" s="142" t="s">
        <v>26</v>
      </c>
      <c r="C160" s="138" t="s">
        <v>54</v>
      </c>
      <c r="D160" s="134" t="s">
        <v>40</v>
      </c>
      <c r="E160" s="135" t="s">
        <v>123</v>
      </c>
      <c r="F160" s="134" t="s">
        <v>166</v>
      </c>
      <c r="G160" s="136" t="str">
        <f>VLOOKUP(A160,Plano_V3!$A$26:$G$586,7,0)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PROPERTY_ENERGY_CERTIFICATEPNL_WINTER_FLOORS_VALUE</v>
      </c>
      <c r="B161" s="142" t="s">
        <v>26</v>
      </c>
      <c r="C161" s="138" t="s">
        <v>54</v>
      </c>
      <c r="D161" s="134" t="s">
        <v>40</v>
      </c>
      <c r="E161" s="135" t="s">
        <v>123</v>
      </c>
      <c r="F161" s="134" t="s">
        <v>167</v>
      </c>
      <c r="G161" s="136" t="str">
        <f>VLOOKUP(A161,Plano_V3!$A$26:$G$586,7,0)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PROPERTY_ENERGY_CERTIFICATEPNL_WINTER_ROOF_VALUE</v>
      </c>
      <c r="B162" s="142" t="s">
        <v>26</v>
      </c>
      <c r="C162" s="138" t="s">
        <v>54</v>
      </c>
      <c r="D162" s="134" t="s">
        <v>40</v>
      </c>
      <c r="E162" s="135" t="s">
        <v>123</v>
      </c>
      <c r="F162" s="134" t="s">
        <v>168</v>
      </c>
      <c r="G162" s="136" t="str">
        <f>VLOOKUP(A162,Plano_V3!$A$26:$G$586,7,0)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PROPERTY_ENERGY_CERTIFICATEPNL_WINTER_WINDOWS_VALUE</v>
      </c>
      <c r="B163" s="142" t="s">
        <v>26</v>
      </c>
      <c r="C163" s="138" t="s">
        <v>54</v>
      </c>
      <c r="D163" s="134" t="s">
        <v>40</v>
      </c>
      <c r="E163" s="135" t="s">
        <v>123</v>
      </c>
      <c r="F163" s="134" t="s">
        <v>169</v>
      </c>
      <c r="G163" s="136" t="str">
        <f>VLOOKUP(A163,Plano_V3!$A$26:$G$586,7,0)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PROPERTY_ENERGY_CERTIFICATEPNL_WINTER_REF_VALUE</v>
      </c>
      <c r="B164" s="142" t="s">
        <v>26</v>
      </c>
      <c r="C164" s="138" t="s">
        <v>54</v>
      </c>
      <c r="D164" s="134" t="s">
        <v>40</v>
      </c>
      <c r="E164" s="135" t="s">
        <v>123</v>
      </c>
      <c r="F164" s="134" t="s">
        <v>170</v>
      </c>
      <c r="G164" s="136" t="str">
        <f>VLOOKUP(A164,Plano_V3!$A$26:$G$586,7,0)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PROPERTY_ENERGY_CERTIFICATEPNL_WINTER_FANS_VALUE</v>
      </c>
      <c r="B165" s="142" t="s">
        <v>26</v>
      </c>
      <c r="C165" s="138" t="s">
        <v>54</v>
      </c>
      <c r="D165" s="134" t="s">
        <v>40</v>
      </c>
      <c r="E165" s="135" t="s">
        <v>123</v>
      </c>
      <c r="F165" s="134" t="s">
        <v>171</v>
      </c>
      <c r="G165" s="136" t="str">
        <f>VLOOKUP(A165,Plano_V3!$A$26:$G$586,7,0)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PROPERTY_ENERGY_CERTIFICATEPNL_SUMMER_ROOF_VALUE</v>
      </c>
      <c r="B166" s="142" t="s">
        <v>26</v>
      </c>
      <c r="C166" s="138" t="s">
        <v>54</v>
      </c>
      <c r="D166" s="134" t="s">
        <v>40</v>
      </c>
      <c r="E166" s="135" t="s">
        <v>123</v>
      </c>
      <c r="F166" s="134" t="s">
        <v>172</v>
      </c>
      <c r="G166" s="136" t="str">
        <f>VLOOKUP(A166,Plano_V3!$A$26:$G$586,7,0)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PROPERTY_ENERGY_CERTIFICATEPNL_SUMMER_WINDOWS_VALUE</v>
      </c>
      <c r="B167" s="142" t="s">
        <v>26</v>
      </c>
      <c r="C167" s="138" t="s">
        <v>54</v>
      </c>
      <c r="D167" s="134" t="s">
        <v>40</v>
      </c>
      <c r="E167" s="135" t="s">
        <v>123</v>
      </c>
      <c r="F167" s="134" t="s">
        <v>173</v>
      </c>
      <c r="G167" s="136" t="str">
        <f>VLOOKUP(A167,Plano_V3!$A$26:$G$586,7,0)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PROPERTY_ENERGY_CERTIFICATEPNL_SUMMER_WALLS_DOORS_VALUE</v>
      </c>
      <c r="B168" s="142" t="s">
        <v>26</v>
      </c>
      <c r="C168" s="138" t="s">
        <v>54</v>
      </c>
      <c r="D168" s="134" t="s">
        <v>40</v>
      </c>
      <c r="E168" s="135" t="s">
        <v>123</v>
      </c>
      <c r="F168" s="134" t="s">
        <v>174</v>
      </c>
      <c r="G168" s="136" t="str">
        <f>VLOOKUP(A168,Plano_V3!$A$26:$G$586,7,0)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PROPERTY_ENERGY_CERTIFICATEPNL_SUMMER_REF_VALUE</v>
      </c>
      <c r="B169" s="142" t="s">
        <v>26</v>
      </c>
      <c r="C169" s="138" t="s">
        <v>54</v>
      </c>
      <c r="D169" s="134" t="s">
        <v>40</v>
      </c>
      <c r="E169" s="135" t="s">
        <v>123</v>
      </c>
      <c r="F169" s="134" t="s">
        <v>175</v>
      </c>
      <c r="G169" s="136" t="str">
        <f>VLOOKUP(A169,Plano_V3!$A$26:$G$586,7,0)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PROPERTY_ENERGY_CERTIFICATEINVOICE_RED_ANNUAL_ESTMTD_VALUE</v>
      </c>
      <c r="B170" s="142" t="s">
        <v>26</v>
      </c>
      <c r="C170" s="138" t="s">
        <v>54</v>
      </c>
      <c r="D170" s="134" t="s">
        <v>40</v>
      </c>
      <c r="E170" s="135" t="s">
        <v>123</v>
      </c>
      <c r="F170" s="134" t="s">
        <v>176</v>
      </c>
      <c r="G170" s="136" t="str">
        <f>VLOOKUP(A170,Plano_V3!$A$26:$G$586,7,0)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PROPERTY_ENERGY_CERTIFICATETEMPERATURE_OUTDOOR_AVG_VALUE</v>
      </c>
      <c r="B171" s="142" t="s">
        <v>26</v>
      </c>
      <c r="C171" s="138" t="s">
        <v>54</v>
      </c>
      <c r="D171" s="134" t="s">
        <v>40</v>
      </c>
      <c r="E171" s="135" t="s">
        <v>123</v>
      </c>
      <c r="F171" s="134" t="s">
        <v>177</v>
      </c>
      <c r="G171" s="136" t="str">
        <f>VLOOKUP(A171,Plano_V3!$A$26:$G$586,7,0)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PROPERTY_ENERGY_CERTIFICATECLIMATE_ZONE_WINTER</v>
      </c>
      <c r="B172" s="142" t="s">
        <v>26</v>
      </c>
      <c r="C172" s="138" t="s">
        <v>54</v>
      </c>
      <c r="D172" s="134" t="s">
        <v>40</v>
      </c>
      <c r="E172" s="135" t="s">
        <v>123</v>
      </c>
      <c r="F172" s="134" t="s">
        <v>178</v>
      </c>
      <c r="G172" s="136" t="str">
        <f>VLOOKUP(A172,Plano_V3!$A$26:$G$586,7,0)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PROPERTY_ENERGY_CERTIFICATENET_FLOOR_AREA</v>
      </c>
      <c r="B173" s="142" t="s">
        <v>26</v>
      </c>
      <c r="C173" s="138" t="s">
        <v>54</v>
      </c>
      <c r="D173" s="134" t="s">
        <v>40</v>
      </c>
      <c r="E173" s="135" t="s">
        <v>123</v>
      </c>
      <c r="F173" s="134" t="s">
        <v>97</v>
      </c>
      <c r="G173" s="136" t="str">
        <f>VLOOKUP(A173,Plano_V3!$A$26:$G$586,7,0)</f>
        <v>6. Em implementação (re-especificação)</v>
      </c>
      <c r="H173" s="136" t="s">
        <v>619</v>
      </c>
      <c r="I173" s="143"/>
      <c r="J173" s="153">
        <f>IF(VLOOKUP(A173,'Aux - pivots1'!$A:$E,3,0)=0, "",VLOOKUP(A173,'Aux - pivots1'!$A:$E,3,0))</f>
        <v>45562</v>
      </c>
      <c r="K173" s="153">
        <f>IF(VLOOKUP(A173,'Aux - pivots1'!$A:$E,4,0)=0, "",VLOOKUP(A173,'Aux - pivots1'!$A:$E,4,0))</f>
        <v>45607</v>
      </c>
      <c r="L173" s="153" t="str">
        <f>IF(VLOOKUP(A173,'Aux - pivots1'!$A:$E,5,0)=0, "",VLOOKUP(A173,'Aux - pivots1'!$A:$E,5,0))</f>
        <v/>
      </c>
      <c r="M173" s="209"/>
      <c r="N173" s="209"/>
    </row>
    <row r="174" spans="1:14" ht="16.2" hidden="1" customHeight="1">
      <c r="A174" s="30" t="str">
        <f t="shared" si="2"/>
        <v>PROPERTY_ENERGY_CERTIFICATECADASTRAL_REGISTER_CODE</v>
      </c>
      <c r="B174" s="142" t="s">
        <v>26</v>
      </c>
      <c r="C174" s="138" t="s">
        <v>54</v>
      </c>
      <c r="D174" s="134" t="s">
        <v>40</v>
      </c>
      <c r="E174" s="135" t="s">
        <v>123</v>
      </c>
      <c r="F174" s="134" t="s">
        <v>98</v>
      </c>
      <c r="G174" s="136" t="str">
        <f>VLOOKUP(A174,Plano_V3!$A$26:$G$586,7,0)</f>
        <v>6. Em implementação (re-especificação)</v>
      </c>
      <c r="H174" s="136" t="s">
        <v>619</v>
      </c>
      <c r="I174" s="143"/>
      <c r="J174" s="153">
        <f>IF(VLOOKUP(A174,'Aux - pivots1'!$A:$E,3,0)=0, "",VLOOKUP(A174,'Aux - pivots1'!$A:$E,3,0))</f>
        <v>45562</v>
      </c>
      <c r="K174" s="153">
        <f>IF(VLOOKUP(A174,'Aux - pivots1'!$A:$E,4,0)=0, "",VLOOKUP(A174,'Aux - pivots1'!$A:$E,4,0))</f>
        <v>45607</v>
      </c>
      <c r="L174" s="153" t="str">
        <f>IF(VLOOKUP(A174,'Aux - pivots1'!$A:$E,5,0)=0, "",VLOOKUP(A174,'Aux - pivots1'!$A:$E,5,0))</f>
        <v/>
      </c>
      <c r="M174" s="209"/>
      <c r="N174" s="209"/>
    </row>
    <row r="175" spans="1:14" ht="16.2" hidden="1" customHeight="1">
      <c r="A175" s="30" t="str">
        <f t="shared" si="2"/>
        <v>PROPERTY_ENERGY_CERTIFICATEDISTRICT_MUNICIP_PARISH_CODE</v>
      </c>
      <c r="B175" s="142" t="s">
        <v>26</v>
      </c>
      <c r="C175" s="138" t="s">
        <v>54</v>
      </c>
      <c r="D175" s="134" t="s">
        <v>40</v>
      </c>
      <c r="E175" s="135" t="s">
        <v>123</v>
      </c>
      <c r="F175" s="134" t="s">
        <v>101</v>
      </c>
      <c r="G175" s="136" t="str">
        <f>VLOOKUP(A175,Plano_V3!$A$26:$G$586,7,0)</f>
        <v>6. Em implementação (re-especificação)</v>
      </c>
      <c r="H175" s="136" t="s">
        <v>619</v>
      </c>
      <c r="I175" s="143"/>
      <c r="J175" s="153">
        <f>IF(VLOOKUP(A175,'Aux - pivots1'!$A:$E,3,0)=0, "",VLOOKUP(A175,'Aux - pivots1'!$A:$E,3,0))</f>
        <v>45562</v>
      </c>
      <c r="K175" s="153">
        <f>IF(VLOOKUP(A175,'Aux - pivots1'!$A:$E,4,0)=0, "",VLOOKUP(A175,'Aux - pivots1'!$A:$E,4,0))</f>
        <v>45607</v>
      </c>
      <c r="L175" s="153" t="str">
        <f>IF(VLOOKUP(A175,'Aux - pivots1'!$A:$E,5,0)=0, "",VLOOKUP(A175,'Aux - pivots1'!$A:$E,5,0))</f>
        <v/>
      </c>
      <c r="M175" s="209"/>
      <c r="N175" s="209"/>
    </row>
    <row r="176" spans="1:14" ht="16.2" hidden="1" customHeight="1">
      <c r="A176" s="30" t="str">
        <f t="shared" si="2"/>
        <v>PROPERTY_ENERGY_CERTIFICATEPROPERTY_PURPOSE_CODE</v>
      </c>
      <c r="B176" s="142" t="s">
        <v>26</v>
      </c>
      <c r="C176" s="138" t="s">
        <v>54</v>
      </c>
      <c r="D176" s="134" t="s">
        <v>40</v>
      </c>
      <c r="E176" s="135" t="s">
        <v>123</v>
      </c>
      <c r="F176" s="134" t="s">
        <v>102</v>
      </c>
      <c r="G176" s="136" t="str">
        <f>VLOOKUP(A176,Plano_V3!$A$26:$G$586,7,0)</f>
        <v>6. Em implementação (re-especificação)</v>
      </c>
      <c r="H176" s="136" t="s">
        <v>619</v>
      </c>
      <c r="I176" s="143"/>
      <c r="J176" s="153">
        <f>IF(VLOOKUP(A176,'Aux - pivots1'!$A:$E,3,0)=0, "",VLOOKUP(A176,'Aux - pivots1'!$A:$E,3,0))</f>
        <v>45562</v>
      </c>
      <c r="K176" s="153">
        <f>IF(VLOOKUP(A176,'Aux - pivots1'!$A:$E,4,0)=0, "",VLOOKUP(A176,'Aux - pivots1'!$A:$E,4,0))</f>
        <v>45607</v>
      </c>
      <c r="L176" s="153" t="str">
        <f>IF(VLOOKUP(A176,'Aux - pivots1'!$A:$E,5,0)=0, "",VLOOKUP(A176,'Aux - pivots1'!$A:$E,5,0))</f>
        <v/>
      </c>
      <c r="M176" s="209"/>
      <c r="N176" s="209"/>
    </row>
    <row r="177" spans="1:14" ht="16.2" hidden="1" customHeight="1">
      <c r="A177" s="30" t="str">
        <f t="shared" si="2"/>
        <v>PROPERTY_ENERGY_CERTIFICATEADDRESS_CODE</v>
      </c>
      <c r="B177" s="142" t="s">
        <v>26</v>
      </c>
      <c r="C177" s="138" t="s">
        <v>54</v>
      </c>
      <c r="D177" s="134" t="s">
        <v>40</v>
      </c>
      <c r="E177" s="135" t="s">
        <v>123</v>
      </c>
      <c r="F177" s="134" t="s">
        <v>104</v>
      </c>
      <c r="G177" s="136" t="str">
        <f>VLOOKUP(A177,Plano_V3!$A$26:$G$586,7,0)</f>
        <v>6. Em implementação (re-especificação)</v>
      </c>
      <c r="H177" s="136" t="s">
        <v>619</v>
      </c>
      <c r="I177" s="143"/>
      <c r="J177" s="153">
        <f>IF(VLOOKUP(A177,'Aux - pivots1'!$A:$E,3,0)=0, "",VLOOKUP(A177,'Aux - pivots1'!$A:$E,3,0))</f>
        <v>45562</v>
      </c>
      <c r="K177" s="153">
        <f>IF(VLOOKUP(A177,'Aux - pivots1'!$A:$E,4,0)=0, "",VLOOKUP(A177,'Aux - pivots1'!$A:$E,4,0))</f>
        <v>45607</v>
      </c>
      <c r="L177" s="153" t="str">
        <f>IF(VLOOKUP(A177,'Aux - pivots1'!$A:$E,5,0)=0, "",VLOOKUP(A177,'Aux - pivots1'!$A:$E,5,0))</f>
        <v/>
      </c>
      <c r="M177" s="209"/>
      <c r="N177" s="209"/>
    </row>
    <row r="178" spans="1:14" ht="16.2" hidden="1" customHeight="1">
      <c r="A178" s="30" t="str">
        <f t="shared" si="2"/>
        <v>PROPERTY_ENERGY_CERTIFICATEFLOOR_NUMBER</v>
      </c>
      <c r="B178" s="142" t="s">
        <v>26</v>
      </c>
      <c r="C178" s="138" t="s">
        <v>54</v>
      </c>
      <c r="D178" s="134" t="s">
        <v>40</v>
      </c>
      <c r="E178" s="135" t="s">
        <v>123</v>
      </c>
      <c r="F178" s="134" t="s">
        <v>111</v>
      </c>
      <c r="G178" s="136" t="str">
        <f>VLOOKUP(A178,Plano_V3!$A$26:$G$586,7,0)</f>
        <v>6. Em implementação (re-especificação)</v>
      </c>
      <c r="H178" s="136" t="s">
        <v>619</v>
      </c>
      <c r="I178" s="143"/>
      <c r="J178" s="153">
        <f>IF(VLOOKUP(A178,'Aux - pivots1'!$A:$E,3,0)=0, "",VLOOKUP(A178,'Aux - pivots1'!$A:$E,3,0))</f>
        <v>45562</v>
      </c>
      <c r="K178" s="153">
        <f>IF(VLOOKUP(A178,'Aux - pivots1'!$A:$E,4,0)=0, "",VLOOKUP(A178,'Aux - pivots1'!$A:$E,4,0))</f>
        <v>45607</v>
      </c>
      <c r="L178" s="153" t="str">
        <f>IF(VLOOKUP(A178,'Aux - pivots1'!$A:$E,5,0)=0, "",VLOOKUP(A178,'Aux - pivots1'!$A:$E,5,0))</f>
        <v/>
      </c>
      <c r="M178" s="209"/>
      <c r="N178" s="209"/>
    </row>
    <row r="179" spans="1:14" ht="16.2" hidden="1" customHeight="1">
      <c r="A179" s="30" t="str">
        <f t="shared" si="2"/>
        <v>PROPERTY_ENERGY_CERTIFICATELOCALITY</v>
      </c>
      <c r="B179" s="142" t="s">
        <v>26</v>
      </c>
      <c r="C179" s="138" t="s">
        <v>54</v>
      </c>
      <c r="D179" s="134" t="s">
        <v>40</v>
      </c>
      <c r="E179" s="135" t="s">
        <v>123</v>
      </c>
      <c r="F179" s="134" t="s">
        <v>112</v>
      </c>
      <c r="G179" s="136" t="str">
        <f>VLOOKUP(A179,Plano_V3!$A$26:$G$586,7,0)</f>
        <v>6. Em implementação (re-especificação)</v>
      </c>
      <c r="H179" s="136" t="s">
        <v>619</v>
      </c>
      <c r="I179" s="143"/>
      <c r="J179" s="153">
        <f>IF(VLOOKUP(A179,'Aux - pivots1'!$A:$E,3,0)=0, "",VLOOKUP(A179,'Aux - pivots1'!$A:$E,3,0))</f>
        <v>45562</v>
      </c>
      <c r="K179" s="153">
        <f>IF(VLOOKUP(A179,'Aux - pivots1'!$A:$E,4,0)=0, "",VLOOKUP(A179,'Aux - pivots1'!$A:$E,4,0))</f>
        <v>45607</v>
      </c>
      <c r="L179" s="153" t="str">
        <f>IF(VLOOKUP(A179,'Aux - pivots1'!$A:$E,5,0)=0, "",VLOOKUP(A179,'Aux - pivots1'!$A:$E,5,0))</f>
        <v/>
      </c>
      <c r="M179" s="209"/>
      <c r="N179" s="209"/>
    </row>
    <row r="180" spans="1:14" ht="16.2" hidden="1" customHeight="1">
      <c r="A180" s="30" t="str">
        <f t="shared" si="2"/>
        <v>PROPERTY_ENERGY_CERTIFICATECLIMATE_ZONE_SUMMER</v>
      </c>
      <c r="B180" s="142" t="s">
        <v>26</v>
      </c>
      <c r="C180" s="138" t="s">
        <v>54</v>
      </c>
      <c r="D180" s="134" t="s">
        <v>40</v>
      </c>
      <c r="E180" s="135" t="s">
        <v>123</v>
      </c>
      <c r="F180" s="134" t="s">
        <v>179</v>
      </c>
      <c r="G180" s="136" t="str">
        <f>VLOOKUP(A180,Plano_V3!$A$26:$G$586,7,0)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modesg_param_sfcs_taxon_europeian.a.</v>
      </c>
      <c r="B181" s="142" t="s">
        <v>26</v>
      </c>
      <c r="C181" s="138" t="s">
        <v>181</v>
      </c>
      <c r="D181" s="134" t="s">
        <v>36</v>
      </c>
      <c r="E181" s="135" t="s">
        <v>182</v>
      </c>
      <c r="F181" s="134" t="s">
        <v>38</v>
      </c>
      <c r="G181" s="136" t="str">
        <f>VLOOKUP(A181,Plano_V3!$A$26:$G$586,7,0)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2" hidden="1" customHeight="1">
      <c r="A182" s="30" t="str">
        <f t="shared" si="2"/>
        <v>modesg_param_sfcs_taxon_europeiacbalcao</v>
      </c>
      <c r="B182" s="142" t="s">
        <v>26</v>
      </c>
      <c r="C182" s="138" t="s">
        <v>181</v>
      </c>
      <c r="D182" s="134" t="s">
        <v>40</v>
      </c>
      <c r="E182" s="135" t="s">
        <v>182</v>
      </c>
      <c r="F182" s="134" t="s">
        <v>183</v>
      </c>
      <c r="G182" s="136" t="str">
        <f>VLOOKUP(A182,Plano_V3!$A$26:$G$586,7,0)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2" hidden="1" customHeight="1">
      <c r="A183" s="30" t="str">
        <f t="shared" si="2"/>
        <v>modesg_param_sfcs_taxon_europeiacempresa</v>
      </c>
      <c r="B183" s="142" t="s">
        <v>26</v>
      </c>
      <c r="C183" s="138" t="s">
        <v>181</v>
      </c>
      <c r="D183" s="134" t="s">
        <v>40</v>
      </c>
      <c r="E183" s="135" t="s">
        <v>182</v>
      </c>
      <c r="F183" s="134" t="s">
        <v>184</v>
      </c>
      <c r="G183" s="136" t="str">
        <f>VLOOKUP(A183,Plano_V3!$A$26:$G$586,7,0)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modesg_param_sfcs_taxon_europeiackmetamis</v>
      </c>
      <c r="B184" s="142" t="s">
        <v>26</v>
      </c>
      <c r="C184" s="138" t="s">
        <v>181</v>
      </c>
      <c r="D184" s="134" t="s">
        <v>40</v>
      </c>
      <c r="E184" s="135" t="s">
        <v>182</v>
      </c>
      <c r="F184" s="134" t="s">
        <v>185</v>
      </c>
      <c r="G184" s="136" t="str">
        <f>VLOOKUP(A184,Plano_V3!$A$26:$G$586,7,0)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modesg_param_sfcs_taxon_europeiackprodmi</v>
      </c>
      <c r="B185" s="142" t="s">
        <v>26</v>
      </c>
      <c r="C185" s="138" t="s">
        <v>181</v>
      </c>
      <c r="D185" s="134" t="s">
        <v>40</v>
      </c>
      <c r="E185" s="135" t="s">
        <v>182</v>
      </c>
      <c r="F185" s="134" t="s">
        <v>186</v>
      </c>
      <c r="G185" s="136" t="str">
        <f>VLOOKUP(A185,Plano_V3!$A$26:$G$586,7,0)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modesg_param_sfcs_taxon_europeiacmetanseg</v>
      </c>
      <c r="B186" s="142" t="s">
        <v>26</v>
      </c>
      <c r="C186" s="138" t="s">
        <v>181</v>
      </c>
      <c r="D186" s="134" t="s">
        <v>40</v>
      </c>
      <c r="E186" s="135" t="s">
        <v>182</v>
      </c>
      <c r="F186" s="134" t="s">
        <v>187</v>
      </c>
      <c r="G186" s="136" t="str">
        <f>VLOOKUP(A186,Plano_V3!$A$26:$G$586,7,0)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modesg_param_sfcs_taxon_europeiacnsm_co2</v>
      </c>
      <c r="B187" s="142" t="s">
        <v>26</v>
      </c>
      <c r="C187" s="138" t="s">
        <v>181</v>
      </c>
      <c r="D187" s="134" t="s">
        <v>40</v>
      </c>
      <c r="E187" s="135" t="s">
        <v>182</v>
      </c>
      <c r="F187" s="134" t="s">
        <v>188</v>
      </c>
      <c r="G187" s="136" t="str">
        <f>VLOOKUP(A187,Plano_V3!$A$26:$G$586,7,0)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modesg_param_sfcs_taxon_europeiacnumecta</v>
      </c>
      <c r="B188" s="142" t="s">
        <v>26</v>
      </c>
      <c r="C188" s="138" t="s">
        <v>181</v>
      </c>
      <c r="D188" s="134" t="s">
        <v>40</v>
      </c>
      <c r="E188" s="135" t="s">
        <v>182</v>
      </c>
      <c r="F188" s="134" t="s">
        <v>189</v>
      </c>
      <c r="G188" s="136" t="str">
        <f>VLOOKUP(A188,Plano_V3!$A$26:$G$586,7,0)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modesg_param_sfcs_taxon_europeiacod_lease</v>
      </c>
      <c r="B189" s="142" t="s">
        <v>26</v>
      </c>
      <c r="C189" s="138" t="s">
        <v>181</v>
      </c>
      <c r="D189" s="134" t="s">
        <v>40</v>
      </c>
      <c r="E189" s="135" t="s">
        <v>182</v>
      </c>
      <c r="F189" s="134" t="s">
        <v>190</v>
      </c>
      <c r="G189" s="136" t="str">
        <f>VLOOKUP(A189,Plano_V3!$A$26:$G$586,7,0)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modesg_param_sfcs_taxon_europeiacod_regra</v>
      </c>
      <c r="B190" s="142" t="s">
        <v>26</v>
      </c>
      <c r="C190" s="138" t="s">
        <v>181</v>
      </c>
      <c r="D190" s="134" t="s">
        <v>40</v>
      </c>
      <c r="E190" s="135" t="s">
        <v>182</v>
      </c>
      <c r="F190" s="134" t="s">
        <v>191</v>
      </c>
      <c r="G190" s="136" t="str">
        <f>VLOOKUP(A190,Plano_V3!$A$26:$G$586,7,0)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modesg_param_sfcs_taxon_europeiacomite</v>
      </c>
      <c r="B191" s="142" t="s">
        <v>26</v>
      </c>
      <c r="C191" s="138" t="s">
        <v>181</v>
      </c>
      <c r="D191" s="134" t="s">
        <v>40</v>
      </c>
      <c r="E191" s="135" t="s">
        <v>182</v>
      </c>
      <c r="F191" s="134" t="s">
        <v>192</v>
      </c>
      <c r="G191" s="136" t="str">
        <f>VLOOKUP(A191,Plano_V3!$A$26:$G$586,7,0)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c r="A192" s="30" t="str">
        <f t="shared" si="2"/>
        <v>modesg_param_sfcs_taxon_europeiadata_aprvc</v>
      </c>
      <c r="B192" s="142" t="s">
        <v>26</v>
      </c>
      <c r="C192" s="138" t="s">
        <v>181</v>
      </c>
      <c r="D192" s="134" t="s">
        <v>40</v>
      </c>
      <c r="E192" s="135" t="s">
        <v>182</v>
      </c>
      <c r="F192" s="134" t="s">
        <v>193</v>
      </c>
      <c r="G192" s="136" t="str">
        <f>VLOOKUP(A192,Plano_V3!$A$26:$G$586,7,0)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c r="A193" s="30" t="str">
        <f t="shared" si="2"/>
        <v>modesg_param_sfcs_taxon_europeiadata_final</v>
      </c>
      <c r="B193" s="142" t="s">
        <v>26</v>
      </c>
      <c r="C193" s="138" t="s">
        <v>181</v>
      </c>
      <c r="D193" s="134" t="s">
        <v>40</v>
      </c>
      <c r="E193" s="135" t="s">
        <v>182</v>
      </c>
      <c r="F193" s="134" t="s">
        <v>194</v>
      </c>
      <c r="G193" s="136" t="str">
        <f>VLOOKUP(A193,Plano_V3!$A$26:$G$586,7,0)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2" hidden="1" customHeight="1">
      <c r="A194" s="30" t="str">
        <f t="shared" si="2"/>
        <v>modesg_param_sfcs_taxon_europeiadata_inicial</v>
      </c>
      <c r="B194" s="142" t="s">
        <v>26</v>
      </c>
      <c r="C194" s="138" t="s">
        <v>181</v>
      </c>
      <c r="D194" s="134" t="s">
        <v>40</v>
      </c>
      <c r="E194" s="135" t="s">
        <v>182</v>
      </c>
      <c r="F194" s="134" t="s">
        <v>195</v>
      </c>
      <c r="G194" s="136" t="str">
        <f>VLOOKUP(A194,Plano_V3!$A$26:$G$586,7,0)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c r="A195" s="30" t="str">
        <f t="shared" si="2"/>
        <v>modesg_param_sfcs_taxon_europeiadominio</v>
      </c>
      <c r="B195" s="142" t="s">
        <v>26</v>
      </c>
      <c r="C195" s="138" t="s">
        <v>181</v>
      </c>
      <c r="D195" s="134" t="s">
        <v>40</v>
      </c>
      <c r="E195" s="135" t="s">
        <v>182</v>
      </c>
      <c r="F195" s="134" t="s">
        <v>196</v>
      </c>
      <c r="G195" s="136" t="str">
        <f>VLOOKUP(A195,Plano_V3!$A$26:$G$586,7,0)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2" hidden="1" customHeight="1">
      <c r="A196" s="30" t="str">
        <f t="shared" si="2"/>
        <v>modesg_param_sfcs_taxon_europeiadscrc</v>
      </c>
      <c r="B196" s="142" t="s">
        <v>26</v>
      </c>
      <c r="C196" s="138" t="s">
        <v>181</v>
      </c>
      <c r="D196" s="134" t="s">
        <v>40</v>
      </c>
      <c r="E196" s="135" t="s">
        <v>182</v>
      </c>
      <c r="F196" s="134" t="s">
        <v>197</v>
      </c>
      <c r="G196" s="136" t="str">
        <f>VLOOKUP(A196,Plano_V3!$A$26:$G$586,7,0)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modesg_param_sfcs_taxon_europeiaepc</v>
      </c>
      <c r="B197" s="142" t="s">
        <v>26</v>
      </c>
      <c r="C197" s="138" t="s">
        <v>181</v>
      </c>
      <c r="D197" s="134" t="s">
        <v>40</v>
      </c>
      <c r="E197" s="135" t="s">
        <v>182</v>
      </c>
      <c r="F197" s="134" t="s">
        <v>198</v>
      </c>
      <c r="G197" s="136" t="str">
        <f>VLOOKUP(A197,Plano_V3!$A$26:$G$586,7,0)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modesg_param_sfcs_taxon_europeiaflag_project_finance</v>
      </c>
      <c r="B198" s="142" t="s">
        <v>26</v>
      </c>
      <c r="C198" s="138" t="s">
        <v>181</v>
      </c>
      <c r="D198" s="134" t="s">
        <v>40</v>
      </c>
      <c r="E198" s="135" t="s">
        <v>182</v>
      </c>
      <c r="F198" s="134" t="s">
        <v>199</v>
      </c>
      <c r="G198" s="136" t="str">
        <f>VLOOKUP(A198,Plano_V3!$A$26:$G$586,7,0)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modesg_param_sfcs_taxon_europeiacfinalidad</v>
      </c>
      <c r="B199" s="142" t="s">
        <v>26</v>
      </c>
      <c r="C199" s="138" t="s">
        <v>181</v>
      </c>
      <c r="D199" s="134" t="s">
        <v>40</v>
      </c>
      <c r="E199" s="135" t="s">
        <v>182</v>
      </c>
      <c r="F199" s="134" t="s">
        <v>200</v>
      </c>
      <c r="G199" s="136" t="str">
        <f>VLOOKUP(A199,Plano_V3!$A$26:$G$586,7,0)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c r="A200" s="30" t="str">
        <f t="shared" si="2"/>
        <v>modesg_param_sfcs_taxon_europeiatipo_combust</v>
      </c>
      <c r="B200" s="142" t="s">
        <v>26</v>
      </c>
      <c r="C200" s="138" t="s">
        <v>181</v>
      </c>
      <c r="D200" s="134" t="s">
        <v>40</v>
      </c>
      <c r="E200" s="135" t="s">
        <v>182</v>
      </c>
      <c r="F200" s="134" t="s">
        <v>201</v>
      </c>
      <c r="G200" s="136" t="str">
        <f>VLOOKUP(A200,Plano_V3!$A$26:$G$586,7,0)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c r="A201" s="30" t="str">
        <f t="shared" si="2"/>
        <v>modesg_param_sfcs_taxon_europeiamontante_pndrc</v>
      </c>
      <c r="B201" s="142" t="s">
        <v>26</v>
      </c>
      <c r="C201" s="138" t="s">
        <v>181</v>
      </c>
      <c r="D201" s="134" t="s">
        <v>40</v>
      </c>
      <c r="E201" s="135" t="s">
        <v>182</v>
      </c>
      <c r="F201" s="134" t="s">
        <v>202</v>
      </c>
      <c r="G201" s="136" t="str">
        <f>VLOOKUP(A201,Plano_V3!$A$26:$G$586,7,0)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c r="A202" s="30" t="str">
        <f t="shared" si="2"/>
        <v>modesg_param_sfcs_taxon_europeianome_ctgr_sfcs</v>
      </c>
      <c r="B202" s="142" t="s">
        <v>26</v>
      </c>
      <c r="C202" s="138" t="s">
        <v>181</v>
      </c>
      <c r="D202" s="134" t="s">
        <v>40</v>
      </c>
      <c r="E202" s="135" t="s">
        <v>182</v>
      </c>
      <c r="F202" s="134" t="s">
        <v>203</v>
      </c>
      <c r="G202" s="136" t="str">
        <f>VLOOKUP(A202,Plano_V3!$A$26:$G$586,7,0)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c r="A203" s="30" t="str">
        <f t="shared" si="2"/>
        <v>modesg_param_sfcs_taxon_europeianome_general_specific_purpose</v>
      </c>
      <c r="B203" s="142" t="s">
        <v>26</v>
      </c>
      <c r="C203" s="138" t="s">
        <v>181</v>
      </c>
      <c r="D203" s="134" t="s">
        <v>40</v>
      </c>
      <c r="E203" s="135" t="s">
        <v>182</v>
      </c>
      <c r="F203" s="134" t="s">
        <v>204</v>
      </c>
      <c r="G203" s="136" t="str">
        <f>VLOOKUP(A203,Plano_V3!$A$26:$G$586,7,0)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c r="A204" s="30" t="str">
        <f t="shared" si="2"/>
        <v>modesg_param_sfcs_taxon_europeianome_purpose_esg</v>
      </c>
      <c r="B204" s="142" t="s">
        <v>26</v>
      </c>
      <c r="C204" s="138" t="s">
        <v>181</v>
      </c>
      <c r="D204" s="134" t="s">
        <v>40</v>
      </c>
      <c r="E204" s="135" t="s">
        <v>182</v>
      </c>
      <c r="F204" s="134" t="s">
        <v>205</v>
      </c>
      <c r="G204" s="136" t="str">
        <f>VLOOKUP(A204,Plano_V3!$A$26:$G$586,7,0)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c r="A205" s="30" t="str">
        <f t="shared" si="2"/>
        <v>modesg_param_sfcs_taxon_europeianome_specific_eligible</v>
      </c>
      <c r="B205" s="142" t="s">
        <v>26</v>
      </c>
      <c r="C205" s="138" t="s">
        <v>181</v>
      </c>
      <c r="D205" s="134" t="s">
        <v>40</v>
      </c>
      <c r="E205" s="135" t="s">
        <v>182</v>
      </c>
      <c r="F205" s="134" t="s">
        <v>206</v>
      </c>
      <c r="G205" s="136" t="str">
        <f>VLOOKUP(A205,Plano_V3!$A$26:$G$586,7,0)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c r="A206" s="30" t="str">
        <f t="shared" si="2"/>
        <v>modesg_param_sfcs_taxon_europeianome_specific_sustainable</v>
      </c>
      <c r="B206" s="142" t="s">
        <v>26</v>
      </c>
      <c r="C206" s="138" t="s">
        <v>181</v>
      </c>
      <c r="D206" s="134" t="s">
        <v>40</v>
      </c>
      <c r="E206" s="135" t="s">
        <v>182</v>
      </c>
      <c r="F206" s="134" t="s">
        <v>207</v>
      </c>
      <c r="G206" s="136" t="str">
        <f>VLOOKUP(A206,Plano_V3!$A$26:$G$586,7,0)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c r="A207" s="30" t="str">
        <f t="shared" ref="A207:A209" si="3">E207&amp;F207</f>
        <v>modesg_param_sfcs_taxon_europeiaref_date</v>
      </c>
      <c r="B207" s="142" t="s">
        <v>26</v>
      </c>
      <c r="C207" s="138" t="s">
        <v>181</v>
      </c>
      <c r="D207" s="134" t="s">
        <v>40</v>
      </c>
      <c r="E207" s="135" t="s">
        <v>182</v>
      </c>
      <c r="F207" s="134" t="s">
        <v>208</v>
      </c>
      <c r="G207" s="136" t="str">
        <f>VLOOKUP(A207,Plano_V3!$A$26:$G$586,7,0)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2" hidden="1" customHeight="1">
      <c r="A208" s="30" t="str">
        <f t="shared" si="3"/>
        <v>modesg_param_sfcs_taxon_europeiazcliente</v>
      </c>
      <c r="B208" s="142" t="s">
        <v>26</v>
      </c>
      <c r="C208" s="138" t="s">
        <v>181</v>
      </c>
      <c r="D208" s="134" t="s">
        <v>40</v>
      </c>
      <c r="E208" s="135" t="s">
        <v>182</v>
      </c>
      <c r="F208" s="134" t="s">
        <v>209</v>
      </c>
      <c r="G208" s="136" t="str">
        <f>VLOOKUP(A208,Plano_V3!$A$26:$G$586,7,0)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modesg_param_sfcs_taxon_europeiazdeposit</v>
      </c>
      <c r="B209" s="142" t="s">
        <v>26</v>
      </c>
      <c r="C209" s="138" t="s">
        <v>181</v>
      </c>
      <c r="D209" s="134" t="s">
        <v>40</v>
      </c>
      <c r="E209" s="135" t="s">
        <v>182</v>
      </c>
      <c r="F209" s="134" t="s">
        <v>210</v>
      </c>
      <c r="G209" s="136" t="str">
        <f>VLOOKUP(A209,Plano_V3!$A$26:$G$586,7,0)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c r="A210" s="30" t="str">
        <f t="shared" ref="A210:A211" si="4">E210&amp;F210</f>
        <v>modesg_param_sfcs_taxon_europeiaordem</v>
      </c>
      <c r="B210" s="142" t="s">
        <v>26</v>
      </c>
      <c r="C210" s="138" t="s">
        <v>181</v>
      </c>
      <c r="D210" s="134" t="s">
        <v>40</v>
      </c>
      <c r="E210" s="135" t="s">
        <v>182</v>
      </c>
      <c r="F210" s="134" t="s">
        <v>211</v>
      </c>
      <c r="G210" s="136" t="str">
        <f>VLOOKUP(A210,Plano_V3!$A$26:$G$586,7,0)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2" hidden="1" customHeight="1">
      <c r="A211" s="30" t="str">
        <f t="shared" si="4"/>
        <v>modesg_param_sfcs_taxon_europeianivel_mrc</v>
      </c>
      <c r="B211" s="142" t="s">
        <v>26</v>
      </c>
      <c r="C211" s="138" t="s">
        <v>181</v>
      </c>
      <c r="D211" s="134" t="s">
        <v>40</v>
      </c>
      <c r="E211" s="135" t="s">
        <v>182</v>
      </c>
      <c r="F211" s="134" t="s">
        <v>212</v>
      </c>
      <c r="G211" s="136" t="str">
        <f>VLOOKUP(A211,Plano_V3!$A$26:$G$586,7,0)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ref="A212:A243" si="5">E212&amp;F212</f>
        <v>modesg_inp_emss_vclsn.a.</v>
      </c>
      <c r="B212" s="142" t="s">
        <v>26</v>
      </c>
      <c r="C212" s="138" t="s">
        <v>181</v>
      </c>
      <c r="D212" s="134" t="s">
        <v>36</v>
      </c>
      <c r="E212" s="135" t="s">
        <v>213</v>
      </c>
      <c r="F212" s="134" t="s">
        <v>38</v>
      </c>
      <c r="G212" s="136" t="str">
        <f>VLOOKUP(A212,Plano_V3!$A$26:$G$586,7,0)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2" hidden="1" customHeight="1">
      <c r="A213" s="30" t="str">
        <f t="shared" si="5"/>
        <v>modesg_inp_km_medios_emss_vclsn.a.</v>
      </c>
      <c r="B213" s="142" t="s">
        <v>26</v>
      </c>
      <c r="C213" s="138" t="s">
        <v>181</v>
      </c>
      <c r="D213" s="134" t="s">
        <v>36</v>
      </c>
      <c r="E213" s="135" t="s">
        <v>214</v>
      </c>
      <c r="F213" s="134" t="s">
        <v>38</v>
      </c>
      <c r="G213" s="136" t="str">
        <f>VLOOKUP(A213,Plano_V3!$A$26:$G$586,7,0)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modesg_inp_empr_excl_parisn.a.</v>
      </c>
      <c r="B214" s="142" t="s">
        <v>26</v>
      </c>
      <c r="C214" s="138" t="s">
        <v>181</v>
      </c>
      <c r="D214" s="134" t="s">
        <v>36</v>
      </c>
      <c r="E214" s="135" t="s">
        <v>215</v>
      </c>
      <c r="F214" s="134" t="s">
        <v>38</v>
      </c>
      <c r="G214" s="136" t="str">
        <f>VLOOKUP(A214,Plano_V3!$A$26:$G$586,7,0)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2" hidden="1" customHeight="1">
      <c r="A215" s="30" t="str">
        <f t="shared" si="5"/>
        <v>modesg_inp_nfrd_alinhamento_taxn.a.</v>
      </c>
      <c r="B215" s="142" t="s">
        <v>26</v>
      </c>
      <c r="C215" s="138" t="s">
        <v>181</v>
      </c>
      <c r="D215" s="134" t="s">
        <v>36</v>
      </c>
      <c r="E215" s="135" t="s">
        <v>216</v>
      </c>
      <c r="F215" s="134" t="s">
        <v>38</v>
      </c>
      <c r="G215" s="136" t="str">
        <f>VLOOKUP(A215,Plano_V3!$A$26:$G$586,7,0)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2" hidden="1" customHeight="1">
      <c r="A216" s="30" t="str">
        <f t="shared" si="5"/>
        <v>modesg_inp_risco_fisicon.a.</v>
      </c>
      <c r="B216" s="142" t="s">
        <v>26</v>
      </c>
      <c r="C216" s="138" t="s">
        <v>181</v>
      </c>
      <c r="D216" s="134" t="s">
        <v>36</v>
      </c>
      <c r="E216" s="135" t="s">
        <v>217</v>
      </c>
      <c r="F216" s="134" t="s">
        <v>38</v>
      </c>
      <c r="G216" s="136" t="str">
        <f>VLOOKUP(A216,Plano_V3!$A$26:$G$586,7,0)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2" hidden="1" customHeight="1">
      <c r="A217" s="30" t="str">
        <f t="shared" si="5"/>
        <v>modesg_inp_emss_scibn.a.</v>
      </c>
      <c r="B217" s="142" t="s">
        <v>26</v>
      </c>
      <c r="C217" s="138" t="s">
        <v>181</v>
      </c>
      <c r="D217" s="134" t="s">
        <v>36</v>
      </c>
      <c r="E217" s="135" t="s">
        <v>218</v>
      </c>
      <c r="F217" s="134" t="s">
        <v>38</v>
      </c>
      <c r="G217" s="136" t="str">
        <f>VLOOKUP(A217,Plano_V3!$A$26:$G$586,7,0)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modesg_inp_emss_nacen.a.</v>
      </c>
      <c r="B218" s="142" t="s">
        <v>26</v>
      </c>
      <c r="C218" s="138" t="s">
        <v>181</v>
      </c>
      <c r="D218" s="134" t="s">
        <v>36</v>
      </c>
      <c r="E218" s="135" t="s">
        <v>219</v>
      </c>
      <c r="F218" s="134" t="s">
        <v>38</v>
      </c>
      <c r="G218" s="136" t="str">
        <f>VLOOKUP(A218,Plano_V3!$A$26:$G$586,7,0)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modesg_inp_emss_bens_imoveisn.a.</v>
      </c>
      <c r="B219" s="142" t="s">
        <v>26</v>
      </c>
      <c r="C219" s="138" t="s">
        <v>181</v>
      </c>
      <c r="D219" s="134" t="s">
        <v>36</v>
      </c>
      <c r="E219" s="135" t="s">
        <v>220</v>
      </c>
      <c r="F219" s="134" t="s">
        <v>38</v>
      </c>
      <c r="G219" s="136" t="str">
        <f>VLOOKUP(A219,Plano_V3!$A$26:$G$586,7,0)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2" hidden="1" customHeight="1">
      <c r="A220" s="30" t="str">
        <f t="shared" si="5"/>
        <v>modesg_inp_emss_vclsref_date</v>
      </c>
      <c r="B220" s="142" t="s">
        <v>26</v>
      </c>
      <c r="C220" s="138" t="s">
        <v>181</v>
      </c>
      <c r="D220" s="134" t="s">
        <v>40</v>
      </c>
      <c r="E220" s="135" t="s">
        <v>213</v>
      </c>
      <c r="F220" s="134" t="s">
        <v>208</v>
      </c>
      <c r="G220" s="136" t="str">
        <f>VLOOKUP(A220,Plano_V3!$A$26:$G$586,7,0)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modesg_inp_emss_vclsnome_regiao</v>
      </c>
      <c r="B221" s="142" t="s">
        <v>26</v>
      </c>
      <c r="C221" s="138" t="s">
        <v>181</v>
      </c>
      <c r="D221" s="134" t="s">
        <v>40</v>
      </c>
      <c r="E221" s="135" t="s">
        <v>213</v>
      </c>
      <c r="F221" s="134" t="s">
        <v>221</v>
      </c>
      <c r="G221" s="136" t="str">
        <f>VLOOKUP(A221,Plano_V3!$A$26:$G$586,7,0)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modesg_inp_emss_vclsnome_pais</v>
      </c>
      <c r="B222" s="142" t="s">
        <v>26</v>
      </c>
      <c r="C222" s="138" t="s">
        <v>181</v>
      </c>
      <c r="D222" s="134" t="s">
        <v>40</v>
      </c>
      <c r="E222" s="135" t="s">
        <v>213</v>
      </c>
      <c r="F222" s="134" t="s">
        <v>222</v>
      </c>
      <c r="G222" s="136" t="str">
        <f>VLOOKUP(A222,Plano_V3!$A$26:$G$586,7,0)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modesg_inp_emss_vclsnome_estado</v>
      </c>
      <c r="B223" s="142" t="s">
        <v>26</v>
      </c>
      <c r="C223" s="138" t="s">
        <v>181</v>
      </c>
      <c r="D223" s="134" t="s">
        <v>40</v>
      </c>
      <c r="E223" s="135" t="s">
        <v>213</v>
      </c>
      <c r="F223" s="134" t="s">
        <v>223</v>
      </c>
      <c r="G223" s="136" t="str">
        <f>VLOOKUP(A223,Plano_V3!$A$26:$G$586,7,0)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modesg_inp_emss_vclstipo_veiculo</v>
      </c>
      <c r="B224" s="142" t="s">
        <v>26</v>
      </c>
      <c r="C224" s="138" t="s">
        <v>181</v>
      </c>
      <c r="D224" s="134" t="s">
        <v>40</v>
      </c>
      <c r="E224" s="135" t="s">
        <v>213</v>
      </c>
      <c r="F224" s="134" t="s">
        <v>224</v>
      </c>
      <c r="G224" s="136" t="str">
        <f>VLOOKUP(A224,Plano_V3!$A$26:$G$586,7,0)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modesg_inp_emss_vclstipo_motor</v>
      </c>
      <c r="B225" s="142" t="s">
        <v>26</v>
      </c>
      <c r="C225" s="138" t="s">
        <v>181</v>
      </c>
      <c r="D225" s="134" t="s">
        <v>40</v>
      </c>
      <c r="E225" s="135" t="s">
        <v>213</v>
      </c>
      <c r="F225" s="134" t="s">
        <v>225</v>
      </c>
      <c r="G225" s="136" t="str">
        <f>VLOOKUP(A225,Plano_V3!$A$26:$G$586,7,0)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modesg_inp_emss_vclsmarca</v>
      </c>
      <c r="B226" s="142" t="s">
        <v>26</v>
      </c>
      <c r="C226" s="138" t="s">
        <v>181</v>
      </c>
      <c r="D226" s="134" t="s">
        <v>40</v>
      </c>
      <c r="E226" s="135" t="s">
        <v>213</v>
      </c>
      <c r="F226" s="134" t="s">
        <v>226</v>
      </c>
      <c r="G226" s="136" t="str">
        <f>VLOOKUP(A226,Plano_V3!$A$26:$G$586,7,0)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modesg_inp_emss_vclsmodelo</v>
      </c>
      <c r="B227" s="142" t="s">
        <v>26</v>
      </c>
      <c r="C227" s="138" t="s">
        <v>181</v>
      </c>
      <c r="D227" s="134" t="s">
        <v>40</v>
      </c>
      <c r="E227" s="135" t="s">
        <v>213</v>
      </c>
      <c r="F227" s="134" t="s">
        <v>227</v>
      </c>
      <c r="G227" s="136" t="str">
        <f>VLOOKUP(A227,Plano_V3!$A$26:$G$586,7,0)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modesg_inp_emss_vclssubgrupo</v>
      </c>
      <c r="B228" s="142" t="s">
        <v>26</v>
      </c>
      <c r="C228" s="138" t="s">
        <v>181</v>
      </c>
      <c r="D228" s="134" t="s">
        <v>40</v>
      </c>
      <c r="E228" s="135" t="s">
        <v>213</v>
      </c>
      <c r="F228" s="134" t="s">
        <v>228</v>
      </c>
      <c r="G228" s="136" t="str">
        <f>VLOOKUP(A228,Plano_V3!$A$26:$G$586,7,0)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modesg_inp_emss_vclsnome_unidade_funcional</v>
      </c>
      <c r="B229" s="142" t="s">
        <v>26</v>
      </c>
      <c r="C229" s="138" t="s">
        <v>181</v>
      </c>
      <c r="D229" s="134" t="s">
        <v>40</v>
      </c>
      <c r="E229" s="135" t="s">
        <v>213</v>
      </c>
      <c r="F229" s="134" t="s">
        <v>229</v>
      </c>
      <c r="G229" s="136" t="str">
        <f>VLOOKUP(A229,Plano_V3!$A$26:$G$586,7,0)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modesg_inp_emss_vclsunidade_funcional</v>
      </c>
      <c r="B230" s="142" t="s">
        <v>26</v>
      </c>
      <c r="C230" s="138" t="s">
        <v>181</v>
      </c>
      <c r="D230" s="134" t="s">
        <v>40</v>
      </c>
      <c r="E230" s="135" t="s">
        <v>213</v>
      </c>
      <c r="F230" s="134" t="s">
        <v>230</v>
      </c>
      <c r="G230" s="136" t="str">
        <f>VLOOKUP(A230,Plano_V3!$A$26:$G$586,7,0)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modesg_inp_emss_vclsnome_fator_emissao</v>
      </c>
      <c r="B231" s="142" t="s">
        <v>26</v>
      </c>
      <c r="C231" s="138" t="s">
        <v>181</v>
      </c>
      <c r="D231" s="134" t="s">
        <v>40</v>
      </c>
      <c r="E231" s="135" t="s">
        <v>213</v>
      </c>
      <c r="F231" s="134" t="s">
        <v>231</v>
      </c>
      <c r="G231" s="136" t="str">
        <f>VLOOKUP(A231,Plano_V3!$A$26:$G$586,7,0)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modesg_inp_emss_vclsunidade_fator_de_emissao</v>
      </c>
      <c r="B232" s="142" t="s">
        <v>26</v>
      </c>
      <c r="C232" s="138" t="s">
        <v>181</v>
      </c>
      <c r="D232" s="134" t="s">
        <v>40</v>
      </c>
      <c r="E232" s="135" t="s">
        <v>213</v>
      </c>
      <c r="F232" s="134" t="s">
        <v>232</v>
      </c>
      <c r="G232" s="136" t="str">
        <f>VLOOKUP(A232,Plano_V3!$A$26:$G$586,7,0)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modesg_inp_emss_vclsscore_qualidade</v>
      </c>
      <c r="B233" s="142" t="s">
        <v>26</v>
      </c>
      <c r="C233" s="138" t="s">
        <v>181</v>
      </c>
      <c r="D233" s="134" t="s">
        <v>40</v>
      </c>
      <c r="E233" s="135" t="s">
        <v>213</v>
      </c>
      <c r="F233" s="134" t="s">
        <v>233</v>
      </c>
      <c r="G233" s="136" t="str">
        <f>VLOOKUP(A233,Plano_V3!$A$26:$G$586,7,0)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modesg_inp_emss_vclsscp1_ftr_emss</v>
      </c>
      <c r="B234" s="142" t="s">
        <v>26</v>
      </c>
      <c r="C234" s="138" t="s">
        <v>181</v>
      </c>
      <c r="D234" s="134" t="s">
        <v>40</v>
      </c>
      <c r="E234" s="135" t="s">
        <v>213</v>
      </c>
      <c r="F234" s="134" t="s">
        <v>234</v>
      </c>
      <c r="G234" s="136" t="str">
        <f>VLOOKUP(A234,Plano_V3!$A$26:$G$586,7,0)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modesg_inp_emss_vclsscp2_ftr_emss</v>
      </c>
      <c r="B235" s="142" t="s">
        <v>26</v>
      </c>
      <c r="C235" s="138" t="s">
        <v>181</v>
      </c>
      <c r="D235" s="134" t="s">
        <v>40</v>
      </c>
      <c r="E235" s="135" t="s">
        <v>213</v>
      </c>
      <c r="F235" s="134" t="s">
        <v>235</v>
      </c>
      <c r="G235" s="136" t="str">
        <f>VLOOKUP(A235,Plano_V3!$A$26:$G$586,7,0)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modesg_inp_emss_vclsscp3_ftr_emss</v>
      </c>
      <c r="B236" s="142" t="s">
        <v>26</v>
      </c>
      <c r="C236" s="138" t="s">
        <v>181</v>
      </c>
      <c r="D236" s="134" t="s">
        <v>40</v>
      </c>
      <c r="E236" s="135" t="s">
        <v>213</v>
      </c>
      <c r="F236" s="134" t="s">
        <v>236</v>
      </c>
      <c r="G236" s="136" t="str">
        <f>VLOOKUP(A236,Plano_V3!$A$26:$G$586,7,0)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modesg_inp_km_medios_emss_vclsref_date</v>
      </c>
      <c r="B237" s="142" t="s">
        <v>26</v>
      </c>
      <c r="C237" s="138" t="s">
        <v>181</v>
      </c>
      <c r="D237" s="134" t="s">
        <v>40</v>
      </c>
      <c r="E237" s="135" t="s">
        <v>214</v>
      </c>
      <c r="F237" s="134" t="s">
        <v>208</v>
      </c>
      <c r="G237" s="136" t="str">
        <f>VLOOKUP(A237,Plano_V3!$A$26:$G$586,7,0)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modesg_inp_km_medios_emss_vclsnome_pais</v>
      </c>
      <c r="B238" s="142" t="s">
        <v>26</v>
      </c>
      <c r="C238" s="138" t="s">
        <v>181</v>
      </c>
      <c r="D238" s="134" t="s">
        <v>40</v>
      </c>
      <c r="E238" s="135" t="s">
        <v>214</v>
      </c>
      <c r="F238" s="134" t="s">
        <v>222</v>
      </c>
      <c r="G238" s="136" t="str">
        <f>VLOOKUP(A238,Plano_V3!$A$26:$G$586,7,0)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modesg_inp_km_medios_emss_vclstipo_vcl</v>
      </c>
      <c r="B239" s="142" t="s">
        <v>26</v>
      </c>
      <c r="C239" s="138" t="s">
        <v>181</v>
      </c>
      <c r="D239" s="134" t="s">
        <v>40</v>
      </c>
      <c r="E239" s="135" t="s">
        <v>214</v>
      </c>
      <c r="F239" s="134" t="s">
        <v>237</v>
      </c>
      <c r="G239" s="136" t="str">
        <f>VLOOKUP(A239,Plano_V3!$A$26:$G$586,7,0)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modesg_inp_km_medios_emss_vclstipo_motor</v>
      </c>
      <c r="B240" s="142" t="s">
        <v>26</v>
      </c>
      <c r="C240" s="138" t="s">
        <v>181</v>
      </c>
      <c r="D240" s="134" t="s">
        <v>40</v>
      </c>
      <c r="E240" s="135" t="s">
        <v>214</v>
      </c>
      <c r="F240" s="134" t="s">
        <v>225</v>
      </c>
      <c r="G240" s="136" t="str">
        <f>VLOOKUP(A240,Plano_V3!$A$26:$G$586,7,0)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modesg_inp_km_medios_emss_vclssubgrupo</v>
      </c>
      <c r="B241" s="142" t="s">
        <v>26</v>
      </c>
      <c r="C241" s="138" t="s">
        <v>181</v>
      </c>
      <c r="D241" s="134" t="s">
        <v>40</v>
      </c>
      <c r="E241" s="135" t="s">
        <v>214</v>
      </c>
      <c r="F241" s="134" t="s">
        <v>228</v>
      </c>
      <c r="G241" s="136" t="str">
        <f>VLOOKUP(A241,Plano_V3!$A$26:$G$586,7,0)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modesg_inp_km_medios_emss_vclsmedia_km</v>
      </c>
      <c r="B242" s="142" t="s">
        <v>26</v>
      </c>
      <c r="C242" s="138" t="s">
        <v>181</v>
      </c>
      <c r="D242" s="134" t="s">
        <v>40</v>
      </c>
      <c r="E242" s="135" t="s">
        <v>214</v>
      </c>
      <c r="F242" s="134" t="s">
        <v>238</v>
      </c>
      <c r="G242" s="136" t="str">
        <f>VLOOKUP(A242,Plano_V3!$A$26:$G$586,7,0)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modesg_inp_empr_excl_parisref_date</v>
      </c>
      <c r="B243" s="142" t="s">
        <v>26</v>
      </c>
      <c r="C243" s="138" t="s">
        <v>181</v>
      </c>
      <c r="D243" s="134" t="s">
        <v>40</v>
      </c>
      <c r="E243" s="135" t="s">
        <v>215</v>
      </c>
      <c r="F243" s="134" t="s">
        <v>208</v>
      </c>
      <c r="G243" s="136" t="str">
        <f>VLOOKUP(A243,Plano_V3!$A$26:$G$586,7,0)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2" hidden="1" customHeight="1">
      <c r="A244" s="30" t="str">
        <f t="shared" ref="A244:A273" si="6">E244&amp;F244</f>
        <v>modesg_inp_empr_excl_parisisin</v>
      </c>
      <c r="B244" s="142" t="s">
        <v>26</v>
      </c>
      <c r="C244" s="138" t="s">
        <v>181</v>
      </c>
      <c r="D244" s="134" t="s">
        <v>40</v>
      </c>
      <c r="E244" s="135" t="s">
        <v>215</v>
      </c>
      <c r="F244" s="134" t="s">
        <v>239</v>
      </c>
      <c r="G244" s="136" t="str">
        <f>VLOOKUP(A244,Plano_V3!$A$26:$G$586,7,0)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si="6"/>
        <v>modesg_inp_empr_excl_parisclei</v>
      </c>
      <c r="B245" s="142" t="s">
        <v>26</v>
      </c>
      <c r="C245" s="138" t="s">
        <v>181</v>
      </c>
      <c r="D245" s="134" t="s">
        <v>40</v>
      </c>
      <c r="E245" s="135" t="s">
        <v>215</v>
      </c>
      <c r="F245" s="134" t="s">
        <v>240</v>
      </c>
      <c r="G245" s="136" t="str">
        <f>VLOOKUP(A245,Plano_V3!$A$26:$G$586,7,0)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modesg_inp_empr_excl_parisccli_kgl</v>
      </c>
      <c r="B246" s="142" t="s">
        <v>26</v>
      </c>
      <c r="C246" s="138" t="s">
        <v>181</v>
      </c>
      <c r="D246" s="134" t="s">
        <v>40</v>
      </c>
      <c r="E246" s="135" t="s">
        <v>215</v>
      </c>
      <c r="F246" s="134" t="s">
        <v>241</v>
      </c>
      <c r="G246" s="136" t="str">
        <f>VLOOKUP(A246,Plano_V3!$A$26:$G$586,7,0)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modesg_inp_empr_excl_parisnome_entidade</v>
      </c>
      <c r="B247" s="142" t="s">
        <v>26</v>
      </c>
      <c r="C247" s="138" t="s">
        <v>181</v>
      </c>
      <c r="D247" s="134" t="s">
        <v>40</v>
      </c>
      <c r="E247" s="135" t="s">
        <v>215</v>
      </c>
      <c r="F247" s="134" t="s">
        <v>242</v>
      </c>
      <c r="G247" s="136" t="str">
        <f>VLOOKUP(A247,Plano_V3!$A$26:$G$586,7,0)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modesg_inp_empr_excl_parisflg_scib</v>
      </c>
      <c r="B248" s="142" t="s">
        <v>26</v>
      </c>
      <c r="C248" s="138" t="s">
        <v>181</v>
      </c>
      <c r="D248" s="134" t="s">
        <v>40</v>
      </c>
      <c r="E248" s="135" t="s">
        <v>215</v>
      </c>
      <c r="F248" s="134" t="s">
        <v>243</v>
      </c>
      <c r="G248" s="136" t="str">
        <f>VLOOKUP(A248,Plano_V3!$A$26:$G$586,7,0)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modesg_inp_empr_excl_parisnome_pais</v>
      </c>
      <c r="B249" s="142" t="s">
        <v>26</v>
      </c>
      <c r="C249" s="138" t="s">
        <v>181</v>
      </c>
      <c r="D249" s="134" t="s">
        <v>40</v>
      </c>
      <c r="E249" s="135" t="s">
        <v>215</v>
      </c>
      <c r="F249" s="134" t="s">
        <v>222</v>
      </c>
      <c r="G249" s="136" t="str">
        <f>VLOOKUP(A249,Plano_V3!$A$26:$G$586,7,0)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modesg_inp_nfrd_alinhamento_taxref_date</v>
      </c>
      <c r="B250" s="142" t="s">
        <v>26</v>
      </c>
      <c r="C250" s="138" t="s">
        <v>181</v>
      </c>
      <c r="D250" s="134" t="s">
        <v>40</v>
      </c>
      <c r="E250" s="135" t="s">
        <v>216</v>
      </c>
      <c r="F250" s="134" t="s">
        <v>208</v>
      </c>
      <c r="G250" s="136" t="str">
        <f>VLOOKUP(A250,Plano_V3!$A$26:$G$586,7,0)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2" hidden="1" customHeight="1">
      <c r="A251" s="30" t="str">
        <f t="shared" si="6"/>
        <v>modesg_inp_nfrd_alinhamento_taxccli_kgl</v>
      </c>
      <c r="B251" s="142" t="s">
        <v>26</v>
      </c>
      <c r="C251" s="138" t="s">
        <v>181</v>
      </c>
      <c r="D251" s="134" t="s">
        <v>40</v>
      </c>
      <c r="E251" s="135" t="s">
        <v>216</v>
      </c>
      <c r="F251" s="134" t="s">
        <v>241</v>
      </c>
      <c r="G251" s="136" t="str">
        <f>VLOOKUP(A251,Plano_V3!$A$26:$G$586,7,0)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modesg_inp_nfrd_alinhamento_taxclei</v>
      </c>
      <c r="B252" s="142" t="s">
        <v>26</v>
      </c>
      <c r="C252" s="138" t="s">
        <v>181</v>
      </c>
      <c r="D252" s="134" t="s">
        <v>40</v>
      </c>
      <c r="E252" s="135" t="s">
        <v>216</v>
      </c>
      <c r="F252" s="134" t="s">
        <v>240</v>
      </c>
      <c r="G252" s="136" t="str">
        <f>VLOOKUP(A252,Plano_V3!$A$26:$G$586,7,0)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modesg_inp_nfrd_alinhamento_taxperm_id</v>
      </c>
      <c r="B253" s="142" t="s">
        <v>26</v>
      </c>
      <c r="C253" s="138" t="s">
        <v>181</v>
      </c>
      <c r="D253" s="134" t="s">
        <v>40</v>
      </c>
      <c r="E253" s="135" t="s">
        <v>216</v>
      </c>
      <c r="F253" s="134" t="s">
        <v>244</v>
      </c>
      <c r="G253" s="136" t="str">
        <f>VLOOKUP(A253,Plano_V3!$A$26:$G$586,7,0)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modesg_inp_nfrd_alinhamento_taxnome_entidade</v>
      </c>
      <c r="B254" s="142" t="s">
        <v>26</v>
      </c>
      <c r="C254" s="138" t="s">
        <v>181</v>
      </c>
      <c r="D254" s="134" t="s">
        <v>40</v>
      </c>
      <c r="E254" s="135" t="s">
        <v>216</v>
      </c>
      <c r="F254" s="134" t="s">
        <v>242</v>
      </c>
      <c r="G254" s="136" t="str">
        <f>VLOOKUP(A254,Plano_V3!$A$26:$G$586,7,0)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modesg_inp_nfrd_alinhamento_taxnome_pais</v>
      </c>
      <c r="B255" s="142" t="s">
        <v>26</v>
      </c>
      <c r="C255" s="138" t="s">
        <v>181</v>
      </c>
      <c r="D255" s="134" t="s">
        <v>40</v>
      </c>
      <c r="E255" s="135" t="s">
        <v>216</v>
      </c>
      <c r="F255" s="134" t="s">
        <v>222</v>
      </c>
      <c r="G255" s="136" t="str">
        <f>VLOOKUP(A255,Plano_V3!$A$26:$G$586,7,0)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modesg_inp_nfrd_alinhamento_taxflg_nfrd</v>
      </c>
      <c r="B256" s="142" t="s">
        <v>26</v>
      </c>
      <c r="C256" s="138" t="s">
        <v>181</v>
      </c>
      <c r="D256" s="134" t="s">
        <v>40</v>
      </c>
      <c r="E256" s="135" t="s">
        <v>216</v>
      </c>
      <c r="F256" s="134" t="s">
        <v>245</v>
      </c>
      <c r="G256" s="136" t="str">
        <f>VLOOKUP(A256,Plano_V3!$A$26:$G$586,7,0)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modesg_inp_nfrd_alinhamento_taxcca_trnvr_ttl_elgbl</v>
      </c>
      <c r="B257" s="142" t="s">
        <v>26</v>
      </c>
      <c r="C257" s="138" t="s">
        <v>181</v>
      </c>
      <c r="D257" s="134" t="s">
        <v>40</v>
      </c>
      <c r="E257" s="135" t="s">
        <v>216</v>
      </c>
      <c r="F257" s="134" t="s">
        <v>246</v>
      </c>
      <c r="G257" s="136" t="str">
        <f>VLOOKUP(A257,Plano_V3!$A$26:$G$586,7,0)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modesg_inp_nfrd_alinhamento_taxcca_trnvr_enblng_alignd</v>
      </c>
      <c r="B258" s="142" t="s">
        <v>26</v>
      </c>
      <c r="C258" s="138" t="s">
        <v>181</v>
      </c>
      <c r="D258" s="134" t="s">
        <v>40</v>
      </c>
      <c r="E258" s="135" t="s">
        <v>216</v>
      </c>
      <c r="F258" s="134" t="s">
        <v>247</v>
      </c>
      <c r="G258" s="136" t="str">
        <f>VLOOKUP(A258,Plano_V3!$A$26:$G$586,7,0)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modesg_inp_nfrd_alinhamento_taxcca_turnover_own_prfrmnce_algnd</v>
      </c>
      <c r="B259" s="142" t="s">
        <v>26</v>
      </c>
      <c r="C259" s="138" t="s">
        <v>181</v>
      </c>
      <c r="D259" s="134" t="s">
        <v>40</v>
      </c>
      <c r="E259" s="135" t="s">
        <v>216</v>
      </c>
      <c r="F259" s="134" t="s">
        <v>248</v>
      </c>
      <c r="G259" s="136" t="str">
        <f>VLOOKUP(A259,Plano_V3!$A$26:$G$586,7,0)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modesg_inp_nfrd_alinhamento_taxcca_capex_ttl_elgbl</v>
      </c>
      <c r="B260" s="142" t="s">
        <v>26</v>
      </c>
      <c r="C260" s="138" t="s">
        <v>181</v>
      </c>
      <c r="D260" s="134" t="s">
        <v>40</v>
      </c>
      <c r="E260" s="135" t="s">
        <v>216</v>
      </c>
      <c r="F260" s="134" t="s">
        <v>249</v>
      </c>
      <c r="G260" s="136" t="str">
        <f>VLOOKUP(A260,Plano_V3!$A$26:$G$586,7,0)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modesg_inp_nfrd_alinhamento_taxcca_capex_enblng_algnd</v>
      </c>
      <c r="B261" s="142" t="s">
        <v>26</v>
      </c>
      <c r="C261" s="138" t="s">
        <v>181</v>
      </c>
      <c r="D261" s="134" t="s">
        <v>40</v>
      </c>
      <c r="E261" s="135" t="s">
        <v>216</v>
      </c>
      <c r="F261" s="134" t="s">
        <v>250</v>
      </c>
      <c r="G261" s="136" t="str">
        <f>VLOOKUP(A261,Plano_V3!$A$26:$G$586,7,0)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modesg_inp_nfrd_alinhamento_taxcca_capex_own_prfrmnce_algnd</v>
      </c>
      <c r="B262" s="142" t="s">
        <v>26</v>
      </c>
      <c r="C262" s="138" t="s">
        <v>181</v>
      </c>
      <c r="D262" s="134" t="s">
        <v>40</v>
      </c>
      <c r="E262" s="135" t="s">
        <v>216</v>
      </c>
      <c r="F262" s="134" t="s">
        <v>251</v>
      </c>
      <c r="G262" s="136" t="str">
        <f>VLOOKUP(A262,Plano_V3!$A$26:$G$586,7,0)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modesg_inp_nfrd_alinhamento_taxccm_trnvr_ttl_elgbl</v>
      </c>
      <c r="B263" s="142" t="s">
        <v>26</v>
      </c>
      <c r="C263" s="138" t="s">
        <v>181</v>
      </c>
      <c r="D263" s="134" t="s">
        <v>40</v>
      </c>
      <c r="E263" s="135" t="s">
        <v>216</v>
      </c>
      <c r="F263" s="134" t="s">
        <v>252</v>
      </c>
      <c r="G263" s="136" t="str">
        <f>VLOOKUP(A263,Plano_V3!$A$26:$G$586,7,0)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modesg_inp_nfrd_alinhamento_taxccm_trnvr_enblng_algnd</v>
      </c>
      <c r="B264" s="142" t="s">
        <v>26</v>
      </c>
      <c r="C264" s="138" t="s">
        <v>181</v>
      </c>
      <c r="D264" s="134" t="s">
        <v>40</v>
      </c>
      <c r="E264" s="135" t="s">
        <v>216</v>
      </c>
      <c r="F264" s="134" t="s">
        <v>253</v>
      </c>
      <c r="G264" s="136" t="str">
        <f>VLOOKUP(A264,Plano_V3!$A$26:$G$586,7,0)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modesg_inp_nfrd_alinhamento_taxccm_trnvr_trnstn_alignd</v>
      </c>
      <c r="B265" s="142" t="s">
        <v>26</v>
      </c>
      <c r="C265" s="138" t="s">
        <v>181</v>
      </c>
      <c r="D265" s="134" t="s">
        <v>40</v>
      </c>
      <c r="E265" s="135" t="s">
        <v>216</v>
      </c>
      <c r="F265" s="134" t="s">
        <v>254</v>
      </c>
      <c r="G265" s="136" t="str">
        <f>VLOOKUP(A265,Plano_V3!$A$26:$G$586,7,0)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modesg_inp_nfrd_alinhamento_taxccm_trnvr_own_prfrmnce_algnd</v>
      </c>
      <c r="B266" s="142" t="s">
        <v>26</v>
      </c>
      <c r="C266" s="138" t="s">
        <v>181</v>
      </c>
      <c r="D266" s="134" t="s">
        <v>40</v>
      </c>
      <c r="E266" s="135" t="s">
        <v>216</v>
      </c>
      <c r="F266" s="134" t="s">
        <v>255</v>
      </c>
      <c r="G266" s="136" t="str">
        <f>VLOOKUP(A266,Plano_V3!$A$26:$G$586,7,0)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modesg_inp_nfrd_alinhamento_taxccm_capex_ttl_elgbl</v>
      </c>
      <c r="B267" s="142" t="s">
        <v>26</v>
      </c>
      <c r="C267" s="138" t="s">
        <v>181</v>
      </c>
      <c r="D267" s="134" t="s">
        <v>40</v>
      </c>
      <c r="E267" s="135" t="s">
        <v>216</v>
      </c>
      <c r="F267" s="134" t="s">
        <v>256</v>
      </c>
      <c r="G267" s="136" t="str">
        <f>VLOOKUP(A267,Plano_V3!$A$26:$G$586,7,0)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modesg_inp_nfrd_alinhamento_taxccm_capex_enblng_algnd</v>
      </c>
      <c r="B268" s="142" t="s">
        <v>26</v>
      </c>
      <c r="C268" s="138" t="s">
        <v>181</v>
      </c>
      <c r="D268" s="134" t="s">
        <v>40</v>
      </c>
      <c r="E268" s="135" t="s">
        <v>216</v>
      </c>
      <c r="F268" s="134" t="s">
        <v>257</v>
      </c>
      <c r="G268" s="136" t="str">
        <f>VLOOKUP(A268,Plano_V3!$A$26:$G$586,7,0)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modesg_inp_nfrd_alinhamento_taxccm_capex_trnstn_algnd</v>
      </c>
      <c r="B269" s="142" t="s">
        <v>26</v>
      </c>
      <c r="C269" s="138" t="s">
        <v>181</v>
      </c>
      <c r="D269" s="134" t="s">
        <v>40</v>
      </c>
      <c r="E269" s="135" t="s">
        <v>216</v>
      </c>
      <c r="F269" s="134" t="s">
        <v>258</v>
      </c>
      <c r="G269" s="136" t="str">
        <f>VLOOKUP(A269,Plano_V3!$A$26:$G$586,7,0)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modesg_inp_nfrd_alinhamento_taxccm_capex_own_prfrmnce_algnd</v>
      </c>
      <c r="B270" s="142" t="s">
        <v>26</v>
      </c>
      <c r="C270" s="138" t="s">
        <v>181</v>
      </c>
      <c r="D270" s="134" t="s">
        <v>40</v>
      </c>
      <c r="E270" s="135" t="s">
        <v>216</v>
      </c>
      <c r="F270" s="134" t="s">
        <v>259</v>
      </c>
      <c r="G270" s="136" t="str">
        <f>VLOOKUP(A270,Plano_V3!$A$26:$G$586,7,0)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modesg_inp_nfrd_alinhamento_taxppc_trnvr_ttl_elgbl</v>
      </c>
      <c r="B271" s="142" t="s">
        <v>26</v>
      </c>
      <c r="C271" s="138" t="s">
        <v>181</v>
      </c>
      <c r="D271" s="134" t="s">
        <v>40</v>
      </c>
      <c r="E271" s="135" t="s">
        <v>216</v>
      </c>
      <c r="F271" s="134" t="s">
        <v>260</v>
      </c>
      <c r="G271" s="136" t="str">
        <f>VLOOKUP(A271,Plano_V3!$A$26:$G$586,7,0)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modesg_inp_nfrd_alinhamento_taxppc_turnover_own_prfrmnce_algnd</v>
      </c>
      <c r="B272" s="142" t="s">
        <v>26</v>
      </c>
      <c r="C272" s="138" t="s">
        <v>181</v>
      </c>
      <c r="D272" s="134" t="s">
        <v>40</v>
      </c>
      <c r="E272" s="135" t="s">
        <v>216</v>
      </c>
      <c r="F272" s="134" t="s">
        <v>261</v>
      </c>
      <c r="G272" s="136" t="str">
        <f>VLOOKUP(A272,Plano_V3!$A$26:$G$586,7,0)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modesg_inp_nfrd_alinhamento_taxppc_capex_ttl_elgbl</v>
      </c>
      <c r="B273" s="142" t="s">
        <v>26</v>
      </c>
      <c r="C273" s="138" t="s">
        <v>181</v>
      </c>
      <c r="D273" s="134" t="s">
        <v>40</v>
      </c>
      <c r="E273" s="135" t="s">
        <v>216</v>
      </c>
      <c r="F273" s="134" t="s">
        <v>262</v>
      </c>
      <c r="G273" s="136" t="str">
        <f>VLOOKUP(A273,Plano_V3!$A$26:$G$586,7,0)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VLOOKUP(A274,Plano_V3!$A$26:$G$586,7,0)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si="7"/>
        <v>modesg_inp_nfrd_alinhamento_taxbio_trnvr_ttl_elgbl</v>
      </c>
      <c r="B275" s="142" t="s">
        <v>26</v>
      </c>
      <c r="C275" s="138" t="s">
        <v>181</v>
      </c>
      <c r="D275" s="134" t="s">
        <v>40</v>
      </c>
      <c r="E275" s="135" t="s">
        <v>216</v>
      </c>
      <c r="F275" s="134" t="s">
        <v>264</v>
      </c>
      <c r="G275" s="136" t="str">
        <f>VLOOKUP(A275,Plano_V3!$A$26:$G$586,7,0)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modesg_inp_nfrd_alinhamento_taxbio_turnover_own_prfrmnce_algnd</v>
      </c>
      <c r="B276" s="142" t="s">
        <v>26</v>
      </c>
      <c r="C276" s="138" t="s">
        <v>181</v>
      </c>
      <c r="D276" s="134" t="s">
        <v>40</v>
      </c>
      <c r="E276" s="135" t="s">
        <v>216</v>
      </c>
      <c r="F276" s="134" t="s">
        <v>265</v>
      </c>
      <c r="G276" s="136" t="str">
        <f>VLOOKUP(A276,Plano_V3!$A$26:$G$586,7,0)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modesg_inp_nfrd_alinhamento_taxbio_capex_ttl_elgbl</v>
      </c>
      <c r="B277" s="142" t="s">
        <v>26</v>
      </c>
      <c r="C277" s="138" t="s">
        <v>181</v>
      </c>
      <c r="D277" s="134" t="s">
        <v>40</v>
      </c>
      <c r="E277" s="135" t="s">
        <v>216</v>
      </c>
      <c r="F277" s="134" t="s">
        <v>266</v>
      </c>
      <c r="G277" s="136" t="str">
        <f>VLOOKUP(A277,Plano_V3!$A$26:$G$586,7,0)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modesg_inp_nfrd_alinhamento_taxbio_capex_own_prfrmnce_algnd</v>
      </c>
      <c r="B278" s="142" t="s">
        <v>26</v>
      </c>
      <c r="C278" s="138" t="s">
        <v>181</v>
      </c>
      <c r="D278" s="134" t="s">
        <v>40</v>
      </c>
      <c r="E278" s="135" t="s">
        <v>216</v>
      </c>
      <c r="F278" s="134" t="s">
        <v>267</v>
      </c>
      <c r="G278" s="136" t="str">
        <f>VLOOKUP(A278,Plano_V3!$A$26:$G$586,7,0)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modesg_inp_nfrd_alinhamento_taxwtr_trnvr_ttl_elgbl</v>
      </c>
      <c r="B279" s="142" t="s">
        <v>26</v>
      </c>
      <c r="C279" s="138" t="s">
        <v>181</v>
      </c>
      <c r="D279" s="134" t="s">
        <v>40</v>
      </c>
      <c r="E279" s="135" t="s">
        <v>216</v>
      </c>
      <c r="F279" s="134" t="s">
        <v>268</v>
      </c>
      <c r="G279" s="136" t="str">
        <f>VLOOKUP(A279,Plano_V3!$A$26:$G$586,7,0)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modesg_inp_nfrd_alinhamento_taxwtr_trnvr_enblng_alignd</v>
      </c>
      <c r="B280" s="142" t="s">
        <v>26</v>
      </c>
      <c r="C280" s="138" t="s">
        <v>181</v>
      </c>
      <c r="D280" s="134" t="s">
        <v>40</v>
      </c>
      <c r="E280" s="135" t="s">
        <v>216</v>
      </c>
      <c r="F280" s="134" t="s">
        <v>269</v>
      </c>
      <c r="G280" s="136" t="str">
        <f>VLOOKUP(A280,Plano_V3!$A$26:$G$586,7,0)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modesg_inp_nfrd_alinhamento_taxwtr_turnover_own_prfrmnce_algnd</v>
      </c>
      <c r="B281" s="142" t="s">
        <v>26</v>
      </c>
      <c r="C281" s="138" t="s">
        <v>181</v>
      </c>
      <c r="D281" s="134" t="s">
        <v>40</v>
      </c>
      <c r="E281" s="135" t="s">
        <v>216</v>
      </c>
      <c r="F281" s="134" t="s">
        <v>270</v>
      </c>
      <c r="G281" s="136" t="str">
        <f>VLOOKUP(A281,Plano_V3!$A$26:$G$586,7,0)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modesg_inp_nfrd_alinhamento_taxwtr_capex_ttl_elgbl</v>
      </c>
      <c r="B282" s="142" t="s">
        <v>26</v>
      </c>
      <c r="C282" s="138" t="s">
        <v>181</v>
      </c>
      <c r="D282" s="134" t="s">
        <v>40</v>
      </c>
      <c r="E282" s="135" t="s">
        <v>216</v>
      </c>
      <c r="F282" s="134" t="s">
        <v>271</v>
      </c>
      <c r="G282" s="136" t="str">
        <f>VLOOKUP(A282,Plano_V3!$A$26:$G$586,7,0)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modesg_inp_nfrd_alinhamento_taxwtr_capex_enblng_algnd</v>
      </c>
      <c r="B283" s="142" t="s">
        <v>26</v>
      </c>
      <c r="C283" s="138" t="s">
        <v>181</v>
      </c>
      <c r="D283" s="134" t="s">
        <v>40</v>
      </c>
      <c r="E283" s="135" t="s">
        <v>216</v>
      </c>
      <c r="F283" s="134" t="s">
        <v>272</v>
      </c>
      <c r="G283" s="136" t="str">
        <f>VLOOKUP(A283,Plano_V3!$A$26:$G$586,7,0)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modesg_inp_nfrd_alinhamento_taxwtr_capex_own_prfrmnce_algnd</v>
      </c>
      <c r="B284" s="142" t="s">
        <v>26</v>
      </c>
      <c r="C284" s="138" t="s">
        <v>181</v>
      </c>
      <c r="D284" s="134" t="s">
        <v>40</v>
      </c>
      <c r="E284" s="135" t="s">
        <v>216</v>
      </c>
      <c r="F284" s="134" t="s">
        <v>273</v>
      </c>
      <c r="G284" s="136" t="str">
        <f>VLOOKUP(A284,Plano_V3!$A$26:$G$586,7,0)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modesg_inp_nfrd_alinhamento_taxce_trnvr_ttl_elgbl</v>
      </c>
      <c r="B285" s="142" t="s">
        <v>26</v>
      </c>
      <c r="C285" s="138" t="s">
        <v>181</v>
      </c>
      <c r="D285" s="134" t="s">
        <v>40</v>
      </c>
      <c r="E285" s="135" t="s">
        <v>216</v>
      </c>
      <c r="F285" s="134" t="s">
        <v>274</v>
      </c>
      <c r="G285" s="136" t="str">
        <f>VLOOKUP(A285,Plano_V3!$A$26:$G$586,7,0)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modesg_inp_nfrd_alinhamento_taxce_trnvr_enblng_alignd</v>
      </c>
      <c r="B286" s="142" t="s">
        <v>26</v>
      </c>
      <c r="C286" s="138" t="s">
        <v>181</v>
      </c>
      <c r="D286" s="134" t="s">
        <v>40</v>
      </c>
      <c r="E286" s="135" t="s">
        <v>216</v>
      </c>
      <c r="F286" s="134" t="s">
        <v>275</v>
      </c>
      <c r="G286" s="136" t="str">
        <f>VLOOKUP(A286,Plano_V3!$A$26:$G$586,7,0)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modesg_inp_nfrd_alinhamento_taxce_turnover_own_prfrmnce_algnd</v>
      </c>
      <c r="B287" s="142" t="s">
        <v>26</v>
      </c>
      <c r="C287" s="138" t="s">
        <v>181</v>
      </c>
      <c r="D287" s="134" t="s">
        <v>40</v>
      </c>
      <c r="E287" s="135" t="s">
        <v>216</v>
      </c>
      <c r="F287" s="134" t="s">
        <v>276</v>
      </c>
      <c r="G287" s="136" t="str">
        <f>VLOOKUP(A287,Plano_V3!$A$26:$G$586,7,0)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modesg_inp_nfrd_alinhamento_taxce_capex_ttl_elgbl</v>
      </c>
      <c r="B288" s="142" t="s">
        <v>26</v>
      </c>
      <c r="C288" s="138" t="s">
        <v>181</v>
      </c>
      <c r="D288" s="134" t="s">
        <v>40</v>
      </c>
      <c r="E288" s="135" t="s">
        <v>216</v>
      </c>
      <c r="F288" s="134" t="s">
        <v>277</v>
      </c>
      <c r="G288" s="136" t="str">
        <f>VLOOKUP(A288,Plano_V3!$A$26:$G$586,7,0)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modesg_inp_nfrd_alinhamento_taxce_capex_enblng_algnd</v>
      </c>
      <c r="B289" s="142" t="s">
        <v>26</v>
      </c>
      <c r="C289" s="138" t="s">
        <v>181</v>
      </c>
      <c r="D289" s="134" t="s">
        <v>40</v>
      </c>
      <c r="E289" s="135" t="s">
        <v>216</v>
      </c>
      <c r="F289" s="134" t="s">
        <v>278</v>
      </c>
      <c r="G289" s="136" t="str">
        <f>VLOOKUP(A289,Plano_V3!$A$26:$G$586,7,0)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modesg_inp_nfrd_alinhamento_taxce_capex_own_prfrmnce_algnd</v>
      </c>
      <c r="B290" s="142" t="s">
        <v>26</v>
      </c>
      <c r="C290" s="138" t="s">
        <v>181</v>
      </c>
      <c r="D290" s="134" t="s">
        <v>40</v>
      </c>
      <c r="E290" s="135" t="s">
        <v>216</v>
      </c>
      <c r="F290" s="134" t="s">
        <v>279</v>
      </c>
      <c r="G290" s="136" t="str">
        <f>VLOOKUP(A290,Plano_V3!$A$26:$G$586,7,0)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modesg_inp_risco_fisicoref_date</v>
      </c>
      <c r="B291" s="142" t="s">
        <v>26</v>
      </c>
      <c r="C291" s="138" t="s">
        <v>181</v>
      </c>
      <c r="D291" s="134" t="s">
        <v>40</v>
      </c>
      <c r="E291" s="135" t="s">
        <v>217</v>
      </c>
      <c r="F291" s="134" t="s">
        <v>208</v>
      </c>
      <c r="G291" s="136" t="str">
        <f>VLOOKUP(A291,Plano_V3!$A$26:$G$586,7,0)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2" hidden="1" customHeight="1">
      <c r="A292" s="30" t="str">
        <f t="shared" si="7"/>
        <v>modesg_inp_risco_fisicocod_pais</v>
      </c>
      <c r="B292" s="142" t="s">
        <v>26</v>
      </c>
      <c r="C292" s="138" t="s">
        <v>181</v>
      </c>
      <c r="D292" s="134" t="s">
        <v>40</v>
      </c>
      <c r="E292" s="135" t="s">
        <v>217</v>
      </c>
      <c r="F292" s="134" t="s">
        <v>280</v>
      </c>
      <c r="G292" s="136" t="str">
        <f>VLOOKUP(A292,Plano_V3!$A$26:$G$586,7,0)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modesg_inp_risco_fisicocod_nutiii</v>
      </c>
      <c r="B293" s="142" t="s">
        <v>26</v>
      </c>
      <c r="C293" s="138" t="s">
        <v>181</v>
      </c>
      <c r="D293" s="134" t="s">
        <v>40</v>
      </c>
      <c r="E293" s="135" t="s">
        <v>217</v>
      </c>
      <c r="F293" s="134" t="s">
        <v>281</v>
      </c>
      <c r="G293" s="136" t="str">
        <f>VLOOKUP(A293,Plano_V3!$A$26:$G$586,7,0)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modesg_inp_risco_fisicocod_nace_esg</v>
      </c>
      <c r="B294" s="142" t="s">
        <v>26</v>
      </c>
      <c r="C294" s="138" t="s">
        <v>181</v>
      </c>
      <c r="D294" s="134" t="s">
        <v>40</v>
      </c>
      <c r="E294" s="135" t="s">
        <v>217</v>
      </c>
      <c r="F294" s="134" t="s">
        <v>282</v>
      </c>
      <c r="G294" s="136" t="str">
        <f>VLOOKUP(A294,Plano_V3!$A$26:$G$586,7,0)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modesg_inp_risco_fisicoflg_rsc_fsc_agd</v>
      </c>
      <c r="B295" s="142" t="s">
        <v>26</v>
      </c>
      <c r="C295" s="138" t="s">
        <v>181</v>
      </c>
      <c r="D295" s="134" t="s">
        <v>40</v>
      </c>
      <c r="E295" s="135" t="s">
        <v>217</v>
      </c>
      <c r="F295" s="134" t="s">
        <v>283</v>
      </c>
      <c r="G295" s="136" t="str">
        <f>VLOOKUP(A295,Plano_V3!$A$26:$G$586,7,0)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modesg_inp_risco_fisicoflg_rsc_fsc_crnc</v>
      </c>
      <c r="B296" s="142" t="s">
        <v>26</v>
      </c>
      <c r="C296" s="138" t="s">
        <v>181</v>
      </c>
      <c r="D296" s="134" t="s">
        <v>40</v>
      </c>
      <c r="E296" s="135" t="s">
        <v>217</v>
      </c>
      <c r="F296" s="134" t="s">
        <v>284</v>
      </c>
      <c r="G296" s="136" t="str">
        <f>VLOOKUP(A296,Plano_V3!$A$26:$G$586,7,0)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modesg_inp_emss_scibref_date</v>
      </c>
      <c r="B297" s="142" t="s">
        <v>26</v>
      </c>
      <c r="C297" s="138" t="s">
        <v>181</v>
      </c>
      <c r="D297" s="134" t="s">
        <v>40</v>
      </c>
      <c r="E297" s="135" t="s">
        <v>218</v>
      </c>
      <c r="F297" s="134" t="s">
        <v>208</v>
      </c>
      <c r="G297" s="136" t="str">
        <f>VLOOKUP(A297,Plano_V3!$A$26:$G$586,7,0)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modesg_inp_emss_scibccli_kgl</v>
      </c>
      <c r="B298" s="142" t="s">
        <v>26</v>
      </c>
      <c r="C298" s="138" t="s">
        <v>181</v>
      </c>
      <c r="D298" s="134" t="s">
        <v>40</v>
      </c>
      <c r="E298" s="135" t="s">
        <v>218</v>
      </c>
      <c r="F298" s="134" t="s">
        <v>241</v>
      </c>
      <c r="G298" s="136" t="str">
        <f>VLOOKUP(A298,Plano_V3!$A$26:$G$586,7,0)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modesg_inp_emss_scibnome_grupo</v>
      </c>
      <c r="B299" s="142" t="s">
        <v>26</v>
      </c>
      <c r="C299" s="138" t="s">
        <v>181</v>
      </c>
      <c r="D299" s="134" t="s">
        <v>40</v>
      </c>
      <c r="E299" s="135" t="s">
        <v>218</v>
      </c>
      <c r="F299" s="134" t="s">
        <v>285</v>
      </c>
      <c r="G299" s="136" t="str">
        <f>VLOOKUP(A299,Plano_V3!$A$26:$G$586,7,0)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modesg_inp_emss_scibisin</v>
      </c>
      <c r="B300" s="142" t="s">
        <v>26</v>
      </c>
      <c r="C300" s="138" t="s">
        <v>181</v>
      </c>
      <c r="D300" s="134" t="s">
        <v>40</v>
      </c>
      <c r="E300" s="135" t="s">
        <v>218</v>
      </c>
      <c r="F300" s="134" t="s">
        <v>239</v>
      </c>
      <c r="G300" s="136" t="str">
        <f>VLOOKUP(A300,Plano_V3!$A$26:$G$586,7,0)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modesg_inp_emss_scibclei</v>
      </c>
      <c r="B301" s="142" t="s">
        <v>26</v>
      </c>
      <c r="C301" s="138" t="s">
        <v>181</v>
      </c>
      <c r="D301" s="134" t="s">
        <v>40</v>
      </c>
      <c r="E301" s="135" t="s">
        <v>218</v>
      </c>
      <c r="F301" s="134" t="s">
        <v>240</v>
      </c>
      <c r="G301" s="136" t="str">
        <f>VLOOKUP(A301,Plano_V3!$A$26:$G$586,7,0)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modesg_inp_emss_scibscp1_emss</v>
      </c>
      <c r="B302" s="142" t="s">
        <v>26</v>
      </c>
      <c r="C302" s="138" t="s">
        <v>181</v>
      </c>
      <c r="D302" s="134" t="s">
        <v>40</v>
      </c>
      <c r="E302" s="135" t="s">
        <v>218</v>
      </c>
      <c r="F302" s="134" t="s">
        <v>286</v>
      </c>
      <c r="G302" s="136" t="str">
        <f>VLOOKUP(A302,Plano_V3!$A$26:$G$586,7,0)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2" hidden="1" customHeight="1">
      <c r="A303" s="30" t="str">
        <f t="shared" si="7"/>
        <v>modesg_inp_emss_scibscp2_emss</v>
      </c>
      <c r="B303" s="142" t="s">
        <v>26</v>
      </c>
      <c r="C303" s="138" t="s">
        <v>181</v>
      </c>
      <c r="D303" s="134" t="s">
        <v>40</v>
      </c>
      <c r="E303" s="135" t="s">
        <v>218</v>
      </c>
      <c r="F303" s="134" t="s">
        <v>287</v>
      </c>
      <c r="G303" s="136" t="str">
        <f>VLOOKUP(A303,Plano_V3!$A$26:$G$586,7,0)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modesg_inp_emss_scibscp3_emss</v>
      </c>
      <c r="B304" s="142" t="s">
        <v>26</v>
      </c>
      <c r="C304" s="138" t="s">
        <v>181</v>
      </c>
      <c r="D304" s="134" t="s">
        <v>40</v>
      </c>
      <c r="E304" s="135" t="s">
        <v>218</v>
      </c>
      <c r="F304" s="134" t="s">
        <v>288</v>
      </c>
      <c r="G304" s="136" t="str">
        <f>VLOOKUP(A304,Plano_V3!$A$26:$G$586,7,0)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2" hidden="1" customHeight="1">
      <c r="A305" s="30" t="str">
        <f t="shared" si="7"/>
        <v>modesg_inp_emss_scibscore_scp1</v>
      </c>
      <c r="B305" s="142" t="s">
        <v>26</v>
      </c>
      <c r="C305" s="138" t="s">
        <v>181</v>
      </c>
      <c r="D305" s="134" t="s">
        <v>40</v>
      </c>
      <c r="E305" s="135" t="s">
        <v>218</v>
      </c>
      <c r="F305" s="134" t="s">
        <v>289</v>
      </c>
      <c r="G305" s="136" t="str">
        <f>VLOOKUP(A305,Plano_V3!$A$26:$G$586,7,0)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modesg_inp_emss_scibscore_scp2</v>
      </c>
      <c r="B306" s="142" t="s">
        <v>26</v>
      </c>
      <c r="C306" s="138" t="s">
        <v>181</v>
      </c>
      <c r="D306" s="134" t="s">
        <v>40</v>
      </c>
      <c r="E306" s="135" t="s">
        <v>218</v>
      </c>
      <c r="F306" s="134" t="s">
        <v>290</v>
      </c>
      <c r="G306" s="136" t="str">
        <f>VLOOKUP(A306,Plano_V3!$A$26:$G$586,7,0)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modesg_inp_emss_scibscore_scp3</v>
      </c>
      <c r="B307" s="142" t="s">
        <v>26</v>
      </c>
      <c r="C307" s="138" t="s">
        <v>181</v>
      </c>
      <c r="D307" s="134" t="s">
        <v>40</v>
      </c>
      <c r="E307" s="135" t="s">
        <v>218</v>
      </c>
      <c r="F307" s="134" t="s">
        <v>291</v>
      </c>
      <c r="G307" s="136" t="str">
        <f>VLOOKUP(A307,Plano_V3!$A$26:$G$586,7,0)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modesg_inp_emss_sciborigem_scp1</v>
      </c>
      <c r="B308" s="142" t="s">
        <v>26</v>
      </c>
      <c r="C308" s="138" t="s">
        <v>181</v>
      </c>
      <c r="D308" s="134" t="s">
        <v>40</v>
      </c>
      <c r="E308" s="135" t="s">
        <v>218</v>
      </c>
      <c r="F308" s="134" t="s">
        <v>292</v>
      </c>
      <c r="G308" s="136" t="str">
        <f>VLOOKUP(A308,Plano_V3!$A$26:$G$586,7,0)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modesg_inp_emss_sciborigem_scp2</v>
      </c>
      <c r="B309" s="142" t="s">
        <v>26</v>
      </c>
      <c r="C309" s="138" t="s">
        <v>181</v>
      </c>
      <c r="D309" s="134" t="s">
        <v>40</v>
      </c>
      <c r="E309" s="135" t="s">
        <v>218</v>
      </c>
      <c r="F309" s="134" t="s">
        <v>293</v>
      </c>
      <c r="G309" s="136" t="str">
        <f>VLOOKUP(A309,Plano_V3!$A$26:$G$586,7,0)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modesg_inp_emss_sciborigem_scp3</v>
      </c>
      <c r="B310" s="142" t="s">
        <v>26</v>
      </c>
      <c r="C310" s="138" t="s">
        <v>181</v>
      </c>
      <c r="D310" s="134" t="s">
        <v>40</v>
      </c>
      <c r="E310" s="135" t="s">
        <v>218</v>
      </c>
      <c r="F310" s="134" t="s">
        <v>294</v>
      </c>
      <c r="G310" s="136" t="str">
        <f>VLOOKUP(A310,Plano_V3!$A$26:$G$586,7,0)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modesg_inp_emss_scibano_info</v>
      </c>
      <c r="B311" s="142" t="s">
        <v>26</v>
      </c>
      <c r="C311" s="138" t="s">
        <v>181</v>
      </c>
      <c r="D311" s="134" t="s">
        <v>40</v>
      </c>
      <c r="E311" s="135" t="s">
        <v>218</v>
      </c>
      <c r="F311" s="134" t="s">
        <v>295</v>
      </c>
      <c r="G311" s="136" t="str">
        <f>VLOOKUP(A311,Plano_V3!$A$26:$G$586,7,0)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modesg_inp_emss_scibdivida_total</v>
      </c>
      <c r="B312" s="142" t="s">
        <v>26</v>
      </c>
      <c r="C312" s="138" t="s">
        <v>181</v>
      </c>
      <c r="D312" s="134" t="s">
        <v>40</v>
      </c>
      <c r="E312" s="135" t="s">
        <v>218</v>
      </c>
      <c r="F312" s="134" t="s">
        <v>296</v>
      </c>
      <c r="G312" s="136" t="str">
        <f>VLOOKUP(A312,Plano_V3!$A$26:$G$586,7,0)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modesg_inp_emss_scibcapital_proprio</v>
      </c>
      <c r="B313" s="142" t="s">
        <v>26</v>
      </c>
      <c r="C313" s="138" t="s">
        <v>181</v>
      </c>
      <c r="D313" s="134" t="s">
        <v>40</v>
      </c>
      <c r="E313" s="135" t="s">
        <v>218</v>
      </c>
      <c r="F313" s="134" t="s">
        <v>297</v>
      </c>
      <c r="G313" s="136" t="str">
        <f>VLOOKUP(A313,Plano_V3!$A$26:$G$586,7,0)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modesg_inp_emss_naceref_date</v>
      </c>
      <c r="B314" s="142" t="s">
        <v>26</v>
      </c>
      <c r="C314" s="138" t="s">
        <v>181</v>
      </c>
      <c r="D314" s="134" t="s">
        <v>40</v>
      </c>
      <c r="E314" s="135" t="s">
        <v>219</v>
      </c>
      <c r="F314" s="134" t="s">
        <v>208</v>
      </c>
      <c r="G314" s="136" t="str">
        <f>VLOOKUP(A314,Plano_V3!$A$26:$G$586,7,0)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modesg_inp_emss_naceano</v>
      </c>
      <c r="B315" s="142" t="s">
        <v>26</v>
      </c>
      <c r="C315" s="138" t="s">
        <v>181</v>
      </c>
      <c r="D315" s="134" t="s">
        <v>40</v>
      </c>
      <c r="E315" s="135" t="s">
        <v>219</v>
      </c>
      <c r="F315" s="134" t="s">
        <v>298</v>
      </c>
      <c r="G315" s="136" t="str">
        <f>VLOOKUP(A315,Plano_V3!$A$26:$G$586,7,0)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modesg_inp_emss_nacenome_pais</v>
      </c>
      <c r="B316" s="142" t="s">
        <v>26</v>
      </c>
      <c r="C316" s="138" t="s">
        <v>181</v>
      </c>
      <c r="D316" s="134" t="s">
        <v>40</v>
      </c>
      <c r="E316" s="135" t="s">
        <v>219</v>
      </c>
      <c r="F316" s="134" t="s">
        <v>222</v>
      </c>
      <c r="G316" s="136" t="str">
        <f>VLOOKUP(A316,Plano_V3!$A$26:$G$586,7,0)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modesg_inp_emss_nacecod_nace_esg</v>
      </c>
      <c r="B317" s="142" t="s">
        <v>26</v>
      </c>
      <c r="C317" s="138" t="s">
        <v>181</v>
      </c>
      <c r="D317" s="134" t="s">
        <v>40</v>
      </c>
      <c r="E317" s="135" t="s">
        <v>219</v>
      </c>
      <c r="F317" s="134" t="s">
        <v>282</v>
      </c>
      <c r="G317" s="136" t="str">
        <f>VLOOKUP(A317,Plano_V3!$A$26:$G$586,7,0)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modesg_inp_emss_nacecod_class_indust</v>
      </c>
      <c r="B318" s="142" t="s">
        <v>26</v>
      </c>
      <c r="C318" s="138" t="s">
        <v>181</v>
      </c>
      <c r="D318" s="134" t="s">
        <v>40</v>
      </c>
      <c r="E318" s="135" t="s">
        <v>219</v>
      </c>
      <c r="F318" s="134" t="s">
        <v>299</v>
      </c>
      <c r="G318" s="136" t="str">
        <f>VLOOKUP(A318,Plano_V3!$A$26:$G$586,7,0)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modesg_inp_emss_nacenivel_classificacao_1</v>
      </c>
      <c r="B319" s="142" t="s">
        <v>26</v>
      </c>
      <c r="C319" s="138" t="s">
        <v>181</v>
      </c>
      <c r="D319" s="134" t="s">
        <v>40</v>
      </c>
      <c r="E319" s="135" t="s">
        <v>219</v>
      </c>
      <c r="F319" s="134" t="s">
        <v>300</v>
      </c>
      <c r="G319" s="136" t="str">
        <f>VLOOKUP(A319,Plano_V3!$A$26:$G$586,7,0)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modesg_inp_emss_naceclasse_ativo</v>
      </c>
      <c r="B320" s="142" t="s">
        <v>26</v>
      </c>
      <c r="C320" s="138" t="s">
        <v>181</v>
      </c>
      <c r="D320" s="134" t="s">
        <v>40</v>
      </c>
      <c r="E320" s="135" t="s">
        <v>219</v>
      </c>
      <c r="F320" s="134" t="s">
        <v>301</v>
      </c>
      <c r="G320" s="136" t="str">
        <f>VLOOKUP(A320,Plano_V3!$A$26:$G$586,7,0)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modesg_inp_emss_naceopcao_metodologia</v>
      </c>
      <c r="B321" s="142" t="s">
        <v>26</v>
      </c>
      <c r="C321" s="138" t="s">
        <v>181</v>
      </c>
      <c r="D321" s="134" t="s">
        <v>40</v>
      </c>
      <c r="E321" s="135" t="s">
        <v>219</v>
      </c>
      <c r="F321" s="134" t="s">
        <v>302</v>
      </c>
      <c r="G321" s="136" t="str">
        <f>VLOOKUP(A321,Plano_V3!$A$26:$G$586,7,0)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modesg_inp_emss_naceunidade_funcional</v>
      </c>
      <c r="B322" s="142" t="s">
        <v>26</v>
      </c>
      <c r="C322" s="138" t="s">
        <v>181</v>
      </c>
      <c r="D322" s="134" t="s">
        <v>40</v>
      </c>
      <c r="E322" s="135" t="s">
        <v>219</v>
      </c>
      <c r="F322" s="134" t="s">
        <v>230</v>
      </c>
      <c r="G322" s="136" t="str">
        <f>VLOOKUP(A322,Plano_V3!$A$26:$G$586,7,0)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modesg_inp_emss_naceunidades_fator_de_emissao</v>
      </c>
      <c r="B323" s="142" t="s">
        <v>26</v>
      </c>
      <c r="C323" s="138" t="s">
        <v>181</v>
      </c>
      <c r="D323" s="134" t="s">
        <v>40</v>
      </c>
      <c r="E323" s="135" t="s">
        <v>219</v>
      </c>
      <c r="F323" s="134" t="s">
        <v>303</v>
      </c>
      <c r="G323" s="136" t="str">
        <f>VLOOKUP(A323,Plano_V3!$A$26:$G$586,7,0)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modesg_inp_emss_nacescore_qualidade</v>
      </c>
      <c r="B324" s="142" t="s">
        <v>26</v>
      </c>
      <c r="C324" s="138" t="s">
        <v>181</v>
      </c>
      <c r="D324" s="134" t="s">
        <v>40</v>
      </c>
      <c r="E324" s="135" t="s">
        <v>219</v>
      </c>
      <c r="F324" s="134" t="s">
        <v>233</v>
      </c>
      <c r="G324" s="136" t="str">
        <f>VLOOKUP(A324,Plano_V3!$A$26:$G$586,7,0)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modesg_inp_emss_nacescp1_ftr_emss</v>
      </c>
      <c r="B325" s="142" t="s">
        <v>26</v>
      </c>
      <c r="C325" s="138" t="s">
        <v>181</v>
      </c>
      <c r="D325" s="134" t="s">
        <v>40</v>
      </c>
      <c r="E325" s="135" t="s">
        <v>219</v>
      </c>
      <c r="F325" s="134" t="s">
        <v>234</v>
      </c>
      <c r="G325" s="136" t="str">
        <f>VLOOKUP(A325,Plano_V3!$A$26:$G$586,7,0)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modesg_inp_emss_nacescp2_ftr_emss</v>
      </c>
      <c r="B326" s="142" t="s">
        <v>26</v>
      </c>
      <c r="C326" s="138" t="s">
        <v>181</v>
      </c>
      <c r="D326" s="134" t="s">
        <v>40</v>
      </c>
      <c r="E326" s="135" t="s">
        <v>219</v>
      </c>
      <c r="F326" s="134" t="s">
        <v>235</v>
      </c>
      <c r="G326" s="136" t="str">
        <f>VLOOKUP(A326,Plano_V3!$A$26:$G$586,7,0)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modesg_inp_emss_nacescp3_ftr_emss</v>
      </c>
      <c r="B327" s="142" t="s">
        <v>26</v>
      </c>
      <c r="C327" s="138" t="s">
        <v>181</v>
      </c>
      <c r="D327" s="134" t="s">
        <v>40</v>
      </c>
      <c r="E327" s="135" t="s">
        <v>219</v>
      </c>
      <c r="F327" s="134" t="s">
        <v>236</v>
      </c>
      <c r="G327" s="136" t="str">
        <f>VLOOKUP(A327,Plano_V3!$A$26:$G$586,7,0)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modesg_inp_emss_bens_imoveisref_date</v>
      </c>
      <c r="B328" s="142" t="s">
        <v>26</v>
      </c>
      <c r="C328" s="138" t="s">
        <v>181</v>
      </c>
      <c r="D328" s="134" t="s">
        <v>40</v>
      </c>
      <c r="E328" s="135" t="s">
        <v>220</v>
      </c>
      <c r="F328" s="134" t="s">
        <v>208</v>
      </c>
      <c r="G328" s="136" t="str">
        <f>VLOOKUP(A328,Plano_V3!$A$26:$G$586,7,0)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2" hidden="1" customHeight="1">
      <c r="A329" s="30" t="str">
        <f t="shared" si="7"/>
        <v>modesg_inp_emss_bens_imoveisnome_pais</v>
      </c>
      <c r="B329" s="142" t="s">
        <v>26</v>
      </c>
      <c r="C329" s="138" t="s">
        <v>181</v>
      </c>
      <c r="D329" s="134" t="s">
        <v>40</v>
      </c>
      <c r="E329" s="135" t="s">
        <v>220</v>
      </c>
      <c r="F329" s="134" t="s">
        <v>222</v>
      </c>
      <c r="G329" s="136" t="str">
        <f>VLOOKUP(A329,Plano_V3!$A$26:$G$586,7,0)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modesg_inp_emss_bens_imoveisnome_estado</v>
      </c>
      <c r="B330" s="142" t="s">
        <v>26</v>
      </c>
      <c r="C330" s="138" t="s">
        <v>181</v>
      </c>
      <c r="D330" s="134" t="s">
        <v>40</v>
      </c>
      <c r="E330" s="135" t="s">
        <v>220</v>
      </c>
      <c r="F330" s="134" t="s">
        <v>223</v>
      </c>
      <c r="G330" s="136" t="str">
        <f>VLOOKUP(A330,Plano_V3!$A$26:$G$586,7,0)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modesg_inp_emss_bens_imoveisclasse_ativo</v>
      </c>
      <c r="B331" s="142" t="s">
        <v>26</v>
      </c>
      <c r="C331" s="138" t="s">
        <v>181</v>
      </c>
      <c r="D331" s="134" t="s">
        <v>40</v>
      </c>
      <c r="E331" s="135" t="s">
        <v>220</v>
      </c>
      <c r="F331" s="134" t="s">
        <v>301</v>
      </c>
      <c r="G331" s="136" t="str">
        <f>VLOOKUP(A331,Plano_V3!$A$26:$G$586,7,0)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modesg_inp_emss_bens_imoveistipo_fator_emissao</v>
      </c>
      <c r="B332" s="142" t="s">
        <v>26</v>
      </c>
      <c r="C332" s="138" t="s">
        <v>181</v>
      </c>
      <c r="D332" s="134" t="s">
        <v>40</v>
      </c>
      <c r="E332" s="135" t="s">
        <v>220</v>
      </c>
      <c r="F332" s="134" t="s">
        <v>304</v>
      </c>
      <c r="G332" s="136" t="str">
        <f>VLOOKUP(A332,Plano_V3!$A$26:$G$586,7,0)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modesg_inp_emss_bens_imoveisregiao</v>
      </c>
      <c r="B333" s="142" t="s">
        <v>26</v>
      </c>
      <c r="C333" s="138" t="s">
        <v>181</v>
      </c>
      <c r="D333" s="134" t="s">
        <v>40</v>
      </c>
      <c r="E333" s="135" t="s">
        <v>220</v>
      </c>
      <c r="F333" s="134" t="s">
        <v>305</v>
      </c>
      <c r="G333" s="136" t="str">
        <f>VLOOKUP(A333,Plano_V3!$A$26:$G$586,7,0)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modesg_inp_emss_bens_imoveistipo_bem</v>
      </c>
      <c r="B334" s="142" t="s">
        <v>26</v>
      </c>
      <c r="C334" s="138" t="s">
        <v>181</v>
      </c>
      <c r="D334" s="134" t="s">
        <v>40</v>
      </c>
      <c r="E334" s="135" t="s">
        <v>220</v>
      </c>
      <c r="F334" s="134" t="s">
        <v>306</v>
      </c>
      <c r="G334" s="136" t="str">
        <f>VLOOKUP(A334,Plano_V3!$A$26:$G$586,7,0)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modesg_inp_emss_bens_imoveistipo_finalidade_bem</v>
      </c>
      <c r="B335" s="142" t="s">
        <v>26</v>
      </c>
      <c r="C335" s="138" t="s">
        <v>181</v>
      </c>
      <c r="D335" s="134" t="s">
        <v>40</v>
      </c>
      <c r="E335" s="135" t="s">
        <v>220</v>
      </c>
      <c r="F335" s="134" t="s">
        <v>307</v>
      </c>
      <c r="G335" s="136" t="str">
        <f>VLOOKUP(A335,Plano_V3!$A$26:$G$586,7,0)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modesg_inp_emss_bens_imoveisepc</v>
      </c>
      <c r="B336" s="142" t="s">
        <v>26</v>
      </c>
      <c r="C336" s="138" t="s">
        <v>181</v>
      </c>
      <c r="D336" s="134" t="s">
        <v>40</v>
      </c>
      <c r="E336" s="135" t="s">
        <v>220</v>
      </c>
      <c r="F336" s="134" t="s">
        <v>198</v>
      </c>
      <c r="G336" s="136" t="str">
        <f>VLOOKUP(A336,Plano_V3!$A$26:$G$586,7,0)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modesg_inp_emss_bens_imoveisflg_ftr_emss_area</v>
      </c>
      <c r="B337" s="142" t="s">
        <v>26</v>
      </c>
      <c r="C337" s="138" t="s">
        <v>181</v>
      </c>
      <c r="D337" s="134" t="s">
        <v>40</v>
      </c>
      <c r="E337" s="135" t="s">
        <v>220</v>
      </c>
      <c r="F337" s="134" t="s">
        <v>308</v>
      </c>
      <c r="G337" s="136" t="str">
        <f>VLOOKUP(A337,Plano_V3!$A$26:$G$586,7,0)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2" hidden="1" customHeight="1">
      <c r="A338" s="30" t="str">
        <f t="shared" ref="A338:A401" si="8">E338&amp;F338</f>
        <v>modesg_inp_emss_bens_imoveisnome_unidade_funcional</v>
      </c>
      <c r="B338" s="142" t="s">
        <v>26</v>
      </c>
      <c r="C338" s="138" t="s">
        <v>181</v>
      </c>
      <c r="D338" s="134" t="s">
        <v>40</v>
      </c>
      <c r="E338" s="135" t="s">
        <v>220</v>
      </c>
      <c r="F338" s="134" t="s">
        <v>229</v>
      </c>
      <c r="G338" s="136" t="str">
        <f>VLOOKUP(A338,Plano_V3!$A$26:$G$586,7,0)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2" hidden="1" customHeight="1">
      <c r="A339" s="30" t="str">
        <f t="shared" si="8"/>
        <v>modesg_inp_emss_bens_imoveisunidade_funcional</v>
      </c>
      <c r="B339" s="142" t="s">
        <v>26</v>
      </c>
      <c r="C339" s="138" t="s">
        <v>181</v>
      </c>
      <c r="D339" s="134" t="s">
        <v>40</v>
      </c>
      <c r="E339" s="135" t="s">
        <v>220</v>
      </c>
      <c r="F339" s="134" t="s">
        <v>230</v>
      </c>
      <c r="G339" s="136" t="str">
        <f>VLOOKUP(A339,Plano_V3!$A$26:$G$586,7,0)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modesg_inp_emss_bens_imoveisnome_fator_emissao</v>
      </c>
      <c r="B340" s="142" t="s">
        <v>26</v>
      </c>
      <c r="C340" s="138" t="s">
        <v>181</v>
      </c>
      <c r="D340" s="134" t="s">
        <v>40</v>
      </c>
      <c r="E340" s="135" t="s">
        <v>220</v>
      </c>
      <c r="F340" s="134" t="s">
        <v>231</v>
      </c>
      <c r="G340" s="136" t="str">
        <f>VLOOKUP(A340,Plano_V3!$A$26:$G$586,7,0)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modesg_inp_emss_bens_imoveisunidade_fator_de_emissao</v>
      </c>
      <c r="B341" s="142" t="s">
        <v>26</v>
      </c>
      <c r="C341" s="138" t="s">
        <v>181</v>
      </c>
      <c r="D341" s="134" t="s">
        <v>40</v>
      </c>
      <c r="E341" s="135" t="s">
        <v>220</v>
      </c>
      <c r="F341" s="134" t="s">
        <v>232</v>
      </c>
      <c r="G341" s="136" t="str">
        <f>VLOOKUP(A341,Plano_V3!$A$26:$G$586,7,0)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modesg_inp_emss_bens_imoveisscore_qualidade</v>
      </c>
      <c r="B342" s="142" t="s">
        <v>26</v>
      </c>
      <c r="C342" s="138" t="s">
        <v>181</v>
      </c>
      <c r="D342" s="134" t="s">
        <v>40</v>
      </c>
      <c r="E342" s="135" t="s">
        <v>220</v>
      </c>
      <c r="F342" s="134" t="s">
        <v>233</v>
      </c>
      <c r="G342" s="136" t="str">
        <f>VLOOKUP(A342,Plano_V3!$A$26:$G$586,7,0)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modesg_inp_emss_bens_imoveisano_fator_emissao</v>
      </c>
      <c r="B343" s="142" t="s">
        <v>26</v>
      </c>
      <c r="C343" s="138" t="s">
        <v>181</v>
      </c>
      <c r="D343" s="134" t="s">
        <v>40</v>
      </c>
      <c r="E343" s="135" t="s">
        <v>220</v>
      </c>
      <c r="F343" s="134" t="s">
        <v>309</v>
      </c>
      <c r="G343" s="136" t="str">
        <f>VLOOKUP(A343,Plano_V3!$A$26:$G$586,7,0)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modesg_inp_emss_bens_imoveisscp1_ftr_emss</v>
      </c>
      <c r="B344" s="142" t="s">
        <v>26</v>
      </c>
      <c r="C344" s="138" t="s">
        <v>181</v>
      </c>
      <c r="D344" s="134" t="s">
        <v>40</v>
      </c>
      <c r="E344" s="135" t="s">
        <v>220</v>
      </c>
      <c r="F344" s="134" t="s">
        <v>234</v>
      </c>
      <c r="G344" s="136" t="str">
        <f>VLOOKUP(A344,Plano_V3!$A$26:$G$586,7,0)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modesg_inp_emss_bens_imoveisscp2_ftr_emss</v>
      </c>
      <c r="B345" s="142" t="s">
        <v>26</v>
      </c>
      <c r="C345" s="138" t="s">
        <v>181</v>
      </c>
      <c r="D345" s="134" t="s">
        <v>40</v>
      </c>
      <c r="E345" s="135" t="s">
        <v>220</v>
      </c>
      <c r="F345" s="134" t="s">
        <v>235</v>
      </c>
      <c r="G345" s="136" t="str">
        <f>VLOOKUP(A345,Plano_V3!$A$26:$G$586,7,0)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modesg_out_bens_imoveisn.a.</v>
      </c>
      <c r="B346" s="142" t="s">
        <v>26</v>
      </c>
      <c r="C346" s="138" t="s">
        <v>311</v>
      </c>
      <c r="D346" s="134" t="s">
        <v>36</v>
      </c>
      <c r="E346" s="135" t="s">
        <v>312</v>
      </c>
      <c r="F346" s="134" t="s">
        <v>38</v>
      </c>
      <c r="G346" s="136" t="str">
        <f>VLOOKUP(A346,Plano_V3!$A$26:$G$586,7,0)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2" hidden="1" customHeight="1">
      <c r="A347" s="30" t="str">
        <f t="shared" si="8"/>
        <v>modesg_out_bens_imoveiscempbem</v>
      </c>
      <c r="B347" s="142" t="s">
        <v>26</v>
      </c>
      <c r="C347" s="138" t="s">
        <v>311</v>
      </c>
      <c r="D347" s="134" t="s">
        <v>40</v>
      </c>
      <c r="E347" s="135" t="s">
        <v>312</v>
      </c>
      <c r="F347" s="134" t="s">
        <v>314</v>
      </c>
      <c r="G347" s="136" t="str">
        <f>VLOOKUP(A347,Plano_V3!$A$26:$G$586,7,0)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modesg_out_bens_imoveisckbalbem</v>
      </c>
      <c r="B348" s="142" t="s">
        <v>26</v>
      </c>
      <c r="C348" s="138" t="s">
        <v>311</v>
      </c>
      <c r="D348" s="134" t="s">
        <v>40</v>
      </c>
      <c r="E348" s="135" t="s">
        <v>312</v>
      </c>
      <c r="F348" s="134" t="s">
        <v>315</v>
      </c>
      <c r="G348" s="136" t="str">
        <f>VLOOKUP(A348,Plano_V3!$A$26:$G$586,7,0)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modesg_out_bens_imoveisckctabem</v>
      </c>
      <c r="B349" s="142" t="s">
        <v>26</v>
      </c>
      <c r="C349" s="138" t="s">
        <v>311</v>
      </c>
      <c r="D349" s="134" t="s">
        <v>40</v>
      </c>
      <c r="E349" s="135" t="s">
        <v>312</v>
      </c>
      <c r="F349" s="134" t="s">
        <v>316</v>
      </c>
      <c r="G349" s="136" t="str">
        <f>VLOOKUP(A349,Plano_V3!$A$26:$G$586,7,0)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modesg_out_bens_imoveisckrefbem</v>
      </c>
      <c r="B350" s="142" t="s">
        <v>26</v>
      </c>
      <c r="C350" s="138" t="s">
        <v>311</v>
      </c>
      <c r="D350" s="134" t="s">
        <v>40</v>
      </c>
      <c r="E350" s="135" t="s">
        <v>312</v>
      </c>
      <c r="F350" s="134" t="s">
        <v>317</v>
      </c>
      <c r="G350" s="136" t="str">
        <f>VLOOKUP(A350,Plano_V3!$A$26:$G$586,7,0)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modesg_out_bens_imoveisflg_rsc_fsc_agd</v>
      </c>
      <c r="B351" s="142" t="s">
        <v>26</v>
      </c>
      <c r="C351" s="138" t="s">
        <v>311</v>
      </c>
      <c r="D351" s="134" t="s">
        <v>40</v>
      </c>
      <c r="E351" s="135" t="s">
        <v>312</v>
      </c>
      <c r="F351" s="134" t="s">
        <v>283</v>
      </c>
      <c r="G351" s="136" t="str">
        <f>VLOOKUP(A351,Plano_V3!$A$26:$G$586,7,0)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2" hidden="1" customHeight="1">
      <c r="A352" s="30" t="str">
        <f t="shared" si="8"/>
        <v>modesg_out_bens_imoveisflg_rsc_fsc_crnc</v>
      </c>
      <c r="B352" s="142" t="s">
        <v>26</v>
      </c>
      <c r="C352" s="138" t="s">
        <v>311</v>
      </c>
      <c r="D352" s="134" t="s">
        <v>40</v>
      </c>
      <c r="E352" s="135" t="s">
        <v>312</v>
      </c>
      <c r="F352" s="134" t="s">
        <v>284</v>
      </c>
      <c r="G352" s="136" t="str">
        <f>VLOOKUP(A352,Plano_V3!$A$26:$G$586,7,0)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modesg_out_bens_imoveisorigem_flg_rsc_fsc_agd</v>
      </c>
      <c r="B353" s="142" t="s">
        <v>26</v>
      </c>
      <c r="C353" s="138" t="s">
        <v>311</v>
      </c>
      <c r="D353" s="134" t="s">
        <v>40</v>
      </c>
      <c r="E353" s="135" t="s">
        <v>312</v>
      </c>
      <c r="F353" s="134" t="s">
        <v>318</v>
      </c>
      <c r="G353" s="136" t="str">
        <f>VLOOKUP(A353,Plano_V3!$A$26:$G$586,7,0)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modesg_out_bens_imoveisorigem_flg_rsc_fsc_crnc</v>
      </c>
      <c r="B354" s="142" t="s">
        <v>26</v>
      </c>
      <c r="C354" s="138" t="s">
        <v>311</v>
      </c>
      <c r="D354" s="134" t="s">
        <v>40</v>
      </c>
      <c r="E354" s="135" t="s">
        <v>312</v>
      </c>
      <c r="F354" s="134" t="s">
        <v>319</v>
      </c>
      <c r="G354" s="136" t="str">
        <f>VLOOKUP(A354,Plano_V3!$A$26:$G$586,7,0)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modesg_out_bens_imoveisorigem_scp1_emss</v>
      </c>
      <c r="B355" s="142" t="s">
        <v>26</v>
      </c>
      <c r="C355" s="138" t="s">
        <v>311</v>
      </c>
      <c r="D355" s="134" t="s">
        <v>40</v>
      </c>
      <c r="E355" s="135" t="s">
        <v>312</v>
      </c>
      <c r="F355" s="134" t="s">
        <v>320</v>
      </c>
      <c r="G355" s="136" t="str">
        <f>VLOOKUP(A355,Plano_V3!$A$26:$G$586,7,0)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2" hidden="1" customHeight="1">
      <c r="A356" s="30" t="str">
        <f t="shared" si="8"/>
        <v>modesg_out_bens_imoveisorigem_scp2_emss</v>
      </c>
      <c r="B356" s="142" t="s">
        <v>26</v>
      </c>
      <c r="C356" s="138" t="s">
        <v>311</v>
      </c>
      <c r="D356" s="134" t="s">
        <v>40</v>
      </c>
      <c r="E356" s="135" t="s">
        <v>312</v>
      </c>
      <c r="F356" s="134" t="s">
        <v>321</v>
      </c>
      <c r="G356" s="136" t="str">
        <f>VLOOKUP(A356,Plano_V3!$A$26:$G$586,7,0)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2" hidden="1" customHeight="1">
      <c r="A357" s="30" t="str">
        <f t="shared" si="8"/>
        <v>modesg_out_bens_imoveisorigem_scp3_emss</v>
      </c>
      <c r="B357" s="142" t="s">
        <v>26</v>
      </c>
      <c r="C357" s="138" t="s">
        <v>311</v>
      </c>
      <c r="D357" s="134" t="s">
        <v>40</v>
      </c>
      <c r="E357" s="135" t="s">
        <v>312</v>
      </c>
      <c r="F357" s="134" t="s">
        <v>322</v>
      </c>
      <c r="G357" s="136" t="str">
        <f>VLOOKUP(A357,Plano_V3!$A$26:$G$586,7,0)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2" hidden="1" customHeight="1">
      <c r="A358" s="30" t="str">
        <f t="shared" si="8"/>
        <v>modesg_out_bens_imoveisref_date</v>
      </c>
      <c r="B358" s="142" t="s">
        <v>26</v>
      </c>
      <c r="C358" s="138" t="s">
        <v>311</v>
      </c>
      <c r="D358" s="134" t="s">
        <v>40</v>
      </c>
      <c r="E358" s="135" t="s">
        <v>312</v>
      </c>
      <c r="F358" s="134" t="s">
        <v>208</v>
      </c>
      <c r="G358" s="136" t="str">
        <f>VLOOKUP(A358,Plano_V3!$A$26:$G$586,7,0)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2" hidden="1" customHeight="1">
      <c r="A359" s="30" t="str">
        <f t="shared" si="8"/>
        <v>modesg_out_bens_imoveisscp1_emss</v>
      </c>
      <c r="B359" s="142" t="s">
        <v>26</v>
      </c>
      <c r="C359" s="138" t="s">
        <v>311</v>
      </c>
      <c r="D359" s="134" t="s">
        <v>40</v>
      </c>
      <c r="E359" s="135" t="s">
        <v>312</v>
      </c>
      <c r="F359" s="134" t="s">
        <v>286</v>
      </c>
      <c r="G359" s="136" t="str">
        <f>VLOOKUP(A359,Plano_V3!$A$26:$G$586,7,0)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2" hidden="1" customHeight="1">
      <c r="A360" s="30" t="str">
        <f t="shared" si="8"/>
        <v>modesg_out_bens_imoveisscp2_emss</v>
      </c>
      <c r="B360" s="142" t="s">
        <v>26</v>
      </c>
      <c r="C360" s="138" t="s">
        <v>311</v>
      </c>
      <c r="D360" s="134" t="s">
        <v>40</v>
      </c>
      <c r="E360" s="135" t="s">
        <v>312</v>
      </c>
      <c r="F360" s="134" t="s">
        <v>287</v>
      </c>
      <c r="G360" s="136" t="str">
        <f>VLOOKUP(A360,Plano_V3!$A$26:$G$586,7,0)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2" hidden="1" customHeight="1">
      <c r="A361" s="30" t="str">
        <f t="shared" si="8"/>
        <v>modesg_out_bens_imoveisscp3_emss</v>
      </c>
      <c r="B361" s="142" t="s">
        <v>26</v>
      </c>
      <c r="C361" s="138" t="s">
        <v>311</v>
      </c>
      <c r="D361" s="134" t="s">
        <v>40</v>
      </c>
      <c r="E361" s="135" t="s">
        <v>312</v>
      </c>
      <c r="F361" s="134" t="s">
        <v>288</v>
      </c>
      <c r="G361" s="136" t="str">
        <f>VLOOKUP(A361,Plano_V3!$A$26:$G$586,7,0)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2" hidden="1" customHeight="1">
      <c r="A362" s="30" t="str">
        <f t="shared" si="8"/>
        <v>modesg_out_bens_imoveisunidade_funcional_scp1_emss</v>
      </c>
      <c r="B362" s="142" t="s">
        <v>26</v>
      </c>
      <c r="C362" s="138" t="s">
        <v>311</v>
      </c>
      <c r="D362" s="134" t="s">
        <v>40</v>
      </c>
      <c r="E362" s="135" t="s">
        <v>312</v>
      </c>
      <c r="F362" s="134" t="s">
        <v>323</v>
      </c>
      <c r="G362" s="136" t="str">
        <f>VLOOKUP(A362,Plano_V3!$A$26:$G$586,7,0)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2" hidden="1" customHeight="1">
      <c r="A363" s="30" t="str">
        <f t="shared" si="8"/>
        <v>modesg_out_bens_imoveisunidade_funcional_scp2_emss</v>
      </c>
      <c r="B363" s="142" t="s">
        <v>26</v>
      </c>
      <c r="C363" s="138" t="s">
        <v>311</v>
      </c>
      <c r="D363" s="134" t="s">
        <v>40</v>
      </c>
      <c r="E363" s="135" t="s">
        <v>312</v>
      </c>
      <c r="F363" s="134" t="s">
        <v>324</v>
      </c>
      <c r="G363" s="136" t="str">
        <f>VLOOKUP(A363,Plano_V3!$A$26:$G$586,7,0)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2" hidden="1" customHeight="1">
      <c r="A364" s="30" t="str">
        <f t="shared" si="8"/>
        <v>modesg_out_bens_imoveisunidade_funcional_scp3_emss</v>
      </c>
      <c r="B364" s="142" t="s">
        <v>26</v>
      </c>
      <c r="C364" s="138" t="s">
        <v>311</v>
      </c>
      <c r="D364" s="134" t="s">
        <v>40</v>
      </c>
      <c r="E364" s="135" t="s">
        <v>312</v>
      </c>
      <c r="F364" s="134" t="s">
        <v>325</v>
      </c>
      <c r="G364" s="136" t="str">
        <f>VLOOKUP(A364,Plano_V3!$A$26:$G$586,7,0)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2" hidden="1" customHeight="1">
      <c r="A365" s="30" t="str">
        <f t="shared" si="8"/>
        <v>modesg_out_empr_info_nfinn.a.</v>
      </c>
      <c r="B365" s="142" t="s">
        <v>26</v>
      </c>
      <c r="C365" s="138" t="s">
        <v>311</v>
      </c>
      <c r="D365" s="134" t="s">
        <v>36</v>
      </c>
      <c r="E365" s="135" t="s">
        <v>326</v>
      </c>
      <c r="F365" s="134" t="s">
        <v>38</v>
      </c>
      <c r="G365" s="136" t="str">
        <f>VLOOKUP(A365,Plano_V3!$A$26:$G$586,7,0)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2" hidden="1" customHeight="1">
      <c r="A366" s="30" t="str">
        <f t="shared" si="8"/>
        <v>modesg_out_empr_info_nfincca_capex_enblng_algnd</v>
      </c>
      <c r="B366" s="142" t="s">
        <v>26</v>
      </c>
      <c r="C366" s="138" t="s">
        <v>311</v>
      </c>
      <c r="D366" s="134" t="s">
        <v>40</v>
      </c>
      <c r="E366" s="135" t="s">
        <v>326</v>
      </c>
      <c r="F366" s="134" t="s">
        <v>250</v>
      </c>
      <c r="G366" s="136" t="str">
        <f>VLOOKUP(A366,Plano_V3!$A$26:$G$586,7,0)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2" hidden="1" customHeight="1">
      <c r="A367" s="30" t="str">
        <f t="shared" si="8"/>
        <v>modesg_out_empr_info_nfincca_capex_own_prfrmnce_algnd</v>
      </c>
      <c r="B367" s="142" t="s">
        <v>26</v>
      </c>
      <c r="C367" s="138" t="s">
        <v>311</v>
      </c>
      <c r="D367" s="134" t="s">
        <v>40</v>
      </c>
      <c r="E367" s="135" t="s">
        <v>326</v>
      </c>
      <c r="F367" s="134" t="s">
        <v>251</v>
      </c>
      <c r="G367" s="136" t="str">
        <f>VLOOKUP(A367,Plano_V3!$A$26:$G$586,7,0)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modesg_out_empr_info_nfincca_capex_ttl_elgbl</v>
      </c>
      <c r="B368" s="142" t="s">
        <v>26</v>
      </c>
      <c r="C368" s="138" t="s">
        <v>311</v>
      </c>
      <c r="D368" s="134" t="s">
        <v>40</v>
      </c>
      <c r="E368" s="135" t="s">
        <v>326</v>
      </c>
      <c r="F368" s="134" t="s">
        <v>249</v>
      </c>
      <c r="G368" s="136" t="str">
        <f>VLOOKUP(A368,Plano_V3!$A$26:$G$586,7,0)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modesg_out_empr_info_nfincca_trnvr_enblng_alignd</v>
      </c>
      <c r="B369" s="142" t="s">
        <v>26</v>
      </c>
      <c r="C369" s="138" t="s">
        <v>311</v>
      </c>
      <c r="D369" s="134" t="s">
        <v>40</v>
      </c>
      <c r="E369" s="135" t="s">
        <v>326</v>
      </c>
      <c r="F369" s="134" t="s">
        <v>247</v>
      </c>
      <c r="G369" s="136" t="str">
        <f>VLOOKUP(A369,Plano_V3!$A$26:$G$586,7,0)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modesg_out_empr_info_nfincca_trnvr_ttl_elgbl</v>
      </c>
      <c r="B370" s="142" t="s">
        <v>26</v>
      </c>
      <c r="C370" s="138" t="s">
        <v>311</v>
      </c>
      <c r="D370" s="134" t="s">
        <v>40</v>
      </c>
      <c r="E370" s="135" t="s">
        <v>326</v>
      </c>
      <c r="F370" s="134" t="s">
        <v>246</v>
      </c>
      <c r="G370" s="136" t="str">
        <f>VLOOKUP(A370,Plano_V3!$A$26:$G$586,7,0)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modesg_out_empr_info_nfincca_turnover_own_prfrmnce_algnd</v>
      </c>
      <c r="B371" s="142" t="s">
        <v>26</v>
      </c>
      <c r="C371" s="138" t="s">
        <v>311</v>
      </c>
      <c r="D371" s="134" t="s">
        <v>40</v>
      </c>
      <c r="E371" s="135" t="s">
        <v>326</v>
      </c>
      <c r="F371" s="134" t="s">
        <v>248</v>
      </c>
      <c r="G371" s="136" t="str">
        <f>VLOOKUP(A371,Plano_V3!$A$26:$G$586,7,0)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modesg_out_empr_info_nfinccm_capex_enblng_algnd</v>
      </c>
      <c r="B372" s="142" t="s">
        <v>26</v>
      </c>
      <c r="C372" s="138" t="s">
        <v>311</v>
      </c>
      <c r="D372" s="134" t="s">
        <v>40</v>
      </c>
      <c r="E372" s="135" t="s">
        <v>326</v>
      </c>
      <c r="F372" s="134" t="s">
        <v>257</v>
      </c>
      <c r="G372" s="136" t="str">
        <f>VLOOKUP(A372,Plano_V3!$A$26:$G$586,7,0)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modesg_out_empr_info_nfinccm_capex_own_prfrmnce_algnd</v>
      </c>
      <c r="B373" s="142" t="s">
        <v>26</v>
      </c>
      <c r="C373" s="138" t="s">
        <v>311</v>
      </c>
      <c r="D373" s="134" t="s">
        <v>40</v>
      </c>
      <c r="E373" s="135" t="s">
        <v>326</v>
      </c>
      <c r="F373" s="134" t="s">
        <v>259</v>
      </c>
      <c r="G373" s="136" t="str">
        <f>VLOOKUP(A373,Plano_V3!$A$26:$G$586,7,0)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modesg_out_empr_info_nfinccm_capex_trnstn_algnd</v>
      </c>
      <c r="B374" s="142" t="s">
        <v>26</v>
      </c>
      <c r="C374" s="138" t="s">
        <v>311</v>
      </c>
      <c r="D374" s="134" t="s">
        <v>40</v>
      </c>
      <c r="E374" s="135" t="s">
        <v>326</v>
      </c>
      <c r="F374" s="134" t="s">
        <v>258</v>
      </c>
      <c r="G374" s="136" t="str">
        <f>VLOOKUP(A374,Plano_V3!$A$26:$G$586,7,0)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modesg_out_empr_info_nfinccm_capex_ttl_elgbl</v>
      </c>
      <c r="B375" s="142" t="s">
        <v>26</v>
      </c>
      <c r="C375" s="138" t="s">
        <v>311</v>
      </c>
      <c r="D375" s="134" t="s">
        <v>40</v>
      </c>
      <c r="E375" s="135" t="s">
        <v>326</v>
      </c>
      <c r="F375" s="134" t="s">
        <v>256</v>
      </c>
      <c r="G375" s="136" t="str">
        <f>VLOOKUP(A375,Plano_V3!$A$26:$G$586,7,0)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modesg_out_empr_info_nfinccm_trnvr_enblng_algnd</v>
      </c>
      <c r="B376" s="142" t="s">
        <v>26</v>
      </c>
      <c r="C376" s="138" t="s">
        <v>311</v>
      </c>
      <c r="D376" s="134" t="s">
        <v>40</v>
      </c>
      <c r="E376" s="135" t="s">
        <v>326</v>
      </c>
      <c r="F376" s="134" t="s">
        <v>253</v>
      </c>
      <c r="G376" s="136" t="str">
        <f>VLOOKUP(A376,Plano_V3!$A$26:$G$586,7,0)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modesg_out_empr_info_nfinccm_trnvr_own_prfrmnce_algnd</v>
      </c>
      <c r="B377" s="142" t="s">
        <v>26</v>
      </c>
      <c r="C377" s="138" t="s">
        <v>311</v>
      </c>
      <c r="D377" s="134" t="s">
        <v>40</v>
      </c>
      <c r="E377" s="135" t="s">
        <v>326</v>
      </c>
      <c r="F377" s="134" t="s">
        <v>255</v>
      </c>
      <c r="G377" s="136" t="str">
        <f>VLOOKUP(A377,Plano_V3!$A$26:$G$586,7,0)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modesg_out_empr_info_nfinccm_trnvr_trnstn_alignd</v>
      </c>
      <c r="B378" s="142" t="s">
        <v>26</v>
      </c>
      <c r="C378" s="138" t="s">
        <v>311</v>
      </c>
      <c r="D378" s="134" t="s">
        <v>40</v>
      </c>
      <c r="E378" s="135" t="s">
        <v>326</v>
      </c>
      <c r="F378" s="134" t="s">
        <v>254</v>
      </c>
      <c r="G378" s="136" t="str">
        <f>VLOOKUP(A378,Plano_V3!$A$26:$G$586,7,0)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modesg_out_empr_info_nfinccm_trnvr_ttl_elgbl</v>
      </c>
      <c r="B379" s="142" t="s">
        <v>26</v>
      </c>
      <c r="C379" s="138" t="s">
        <v>311</v>
      </c>
      <c r="D379" s="134" t="s">
        <v>40</v>
      </c>
      <c r="E379" s="135" t="s">
        <v>326</v>
      </c>
      <c r="F379" s="134" t="s">
        <v>252</v>
      </c>
      <c r="G379" s="136" t="str">
        <f>VLOOKUP(A379,Plano_V3!$A$26:$G$586,7,0)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modesg_out_empr_info_nfincod_nace_esg</v>
      </c>
      <c r="B380" s="142" t="s">
        <v>26</v>
      </c>
      <c r="C380" s="138" t="s">
        <v>311</v>
      </c>
      <c r="D380" s="134" t="s">
        <v>40</v>
      </c>
      <c r="E380" s="135" t="s">
        <v>326</v>
      </c>
      <c r="F380" s="219" t="s">
        <v>282</v>
      </c>
      <c r="G380" s="220" t="str">
        <f>VLOOKUP(A380,Plano_V3!$A$26:$G$586,7,0)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modesg_out_empr_info_nfinflg_emprs_excl_paris</v>
      </c>
      <c r="B381" s="142" t="s">
        <v>26</v>
      </c>
      <c r="C381" s="138" t="s">
        <v>311</v>
      </c>
      <c r="D381" s="134" t="s">
        <v>40</v>
      </c>
      <c r="E381" s="135" t="s">
        <v>326</v>
      </c>
      <c r="F381" s="134" t="s">
        <v>328</v>
      </c>
      <c r="G381" s="136" t="str">
        <f>VLOOKUP(A381,Plano_V3!$A$26:$G$586,7,0)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modesg_out_empr_info_nfinflg_nfrd</v>
      </c>
      <c r="B382" s="142" t="s">
        <v>26</v>
      </c>
      <c r="C382" s="138" t="s">
        <v>311</v>
      </c>
      <c r="D382" s="134" t="s">
        <v>40</v>
      </c>
      <c r="E382" s="135" t="s">
        <v>326</v>
      </c>
      <c r="F382" s="134" t="s">
        <v>245</v>
      </c>
      <c r="G382" s="136" t="str">
        <f>VLOOKUP(A382,Plano_V3!$A$26:$G$586,7,0)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modesg_out_empr_info_nfinflg_rsc_fsc_agd</v>
      </c>
      <c r="B383" s="142" t="s">
        <v>26</v>
      </c>
      <c r="C383" s="138" t="s">
        <v>311</v>
      </c>
      <c r="D383" s="134" t="s">
        <v>40</v>
      </c>
      <c r="E383" s="135" t="s">
        <v>326</v>
      </c>
      <c r="F383" s="134" t="s">
        <v>283</v>
      </c>
      <c r="G383" s="136" t="str">
        <f>VLOOKUP(A383,Plano_V3!$A$26:$G$586,7,0)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2" hidden="1" customHeight="1">
      <c r="A384" s="30" t="str">
        <f t="shared" si="8"/>
        <v>modesg_out_empr_info_nfinflg_rsc_fsc_crnc</v>
      </c>
      <c r="B384" s="142" t="s">
        <v>26</v>
      </c>
      <c r="C384" s="138" t="s">
        <v>311</v>
      </c>
      <c r="D384" s="134" t="s">
        <v>40</v>
      </c>
      <c r="E384" s="135" t="s">
        <v>326</v>
      </c>
      <c r="F384" s="134" t="s">
        <v>284</v>
      </c>
      <c r="G384" s="136" t="str">
        <f>VLOOKUP(A384,Plano_V3!$A$26:$G$586,7,0)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modesg_out_empr_info_nfinorigem_alinhamentos</v>
      </c>
      <c r="B385" s="142" t="s">
        <v>26</v>
      </c>
      <c r="C385" s="138" t="s">
        <v>311</v>
      </c>
      <c r="D385" s="134" t="s">
        <v>40</v>
      </c>
      <c r="E385" s="135" t="s">
        <v>326</v>
      </c>
      <c r="F385" s="134" t="s">
        <v>329</v>
      </c>
      <c r="G385" s="136" t="str">
        <f>VLOOKUP(A385,Plano_V3!$A$26:$G$586,7,0)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2" hidden="1" customHeight="1">
      <c r="A386" s="30" t="str">
        <f t="shared" si="8"/>
        <v>modesg_out_empr_info_nfinorigem_flg_emprs_excl_paris</v>
      </c>
      <c r="B386" s="142" t="s">
        <v>26</v>
      </c>
      <c r="C386" s="138" t="s">
        <v>311</v>
      </c>
      <c r="D386" s="134" t="s">
        <v>40</v>
      </c>
      <c r="E386" s="135" t="s">
        <v>326</v>
      </c>
      <c r="F386" s="134" t="s">
        <v>330</v>
      </c>
      <c r="G386" s="136" t="str">
        <f>VLOOKUP(A386,Plano_V3!$A$26:$G$586,7,0)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modesg_out_empr_info_nfinorigem_flg_nfrd</v>
      </c>
      <c r="B387" s="142" t="s">
        <v>26</v>
      </c>
      <c r="C387" s="138" t="s">
        <v>311</v>
      </c>
      <c r="D387" s="134" t="s">
        <v>40</v>
      </c>
      <c r="E387" s="135" t="s">
        <v>326</v>
      </c>
      <c r="F387" s="134" t="s">
        <v>331</v>
      </c>
      <c r="G387" s="136" t="str">
        <f>VLOOKUP(A387,Plano_V3!$A$26:$G$586,7,0)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modesg_out_empr_info_nfinorigem_flg_rsc_fsc_agd</v>
      </c>
      <c r="B388" s="142" t="s">
        <v>26</v>
      </c>
      <c r="C388" s="138" t="s">
        <v>311</v>
      </c>
      <c r="D388" s="134" t="s">
        <v>40</v>
      </c>
      <c r="E388" s="135" t="s">
        <v>326</v>
      </c>
      <c r="F388" s="134" t="s">
        <v>318</v>
      </c>
      <c r="G388" s="136" t="str">
        <f>VLOOKUP(A388,Plano_V3!$A$26:$G$586,7,0)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2" hidden="1" customHeight="1">
      <c r="A389" s="30" t="str">
        <f t="shared" si="8"/>
        <v>modesg_out_empr_info_nfinorigem_flg_rsc_fsc_crnc</v>
      </c>
      <c r="B389" s="142" t="s">
        <v>26</v>
      </c>
      <c r="C389" s="138" t="s">
        <v>311</v>
      </c>
      <c r="D389" s="134" t="s">
        <v>40</v>
      </c>
      <c r="E389" s="135" t="s">
        <v>326</v>
      </c>
      <c r="F389" s="134" t="s">
        <v>319</v>
      </c>
      <c r="G389" s="136" t="str">
        <f>VLOOKUP(A389,Plano_V3!$A$26:$G$586,7,0)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modesg_out_empr_info_nfinorigem_scp1_emss</v>
      </c>
      <c r="B390" s="142" t="s">
        <v>26</v>
      </c>
      <c r="C390" s="138" t="s">
        <v>311</v>
      </c>
      <c r="D390" s="134" t="s">
        <v>40</v>
      </c>
      <c r="E390" s="135" t="s">
        <v>326</v>
      </c>
      <c r="F390" s="134" t="s">
        <v>320</v>
      </c>
      <c r="G390" s="136" t="str">
        <f>VLOOKUP(A390,Plano_V3!$A$26:$G$586,7,0)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2" hidden="1" customHeight="1">
      <c r="A391" s="30" t="str">
        <f t="shared" si="8"/>
        <v>modesg_out_empr_info_nfinorigem_scp2_emss</v>
      </c>
      <c r="B391" s="142" t="s">
        <v>26</v>
      </c>
      <c r="C391" s="138" t="s">
        <v>311</v>
      </c>
      <c r="D391" s="134" t="s">
        <v>40</v>
      </c>
      <c r="E391" s="135" t="s">
        <v>326</v>
      </c>
      <c r="F391" s="134" t="s">
        <v>321</v>
      </c>
      <c r="G391" s="136" t="str">
        <f>VLOOKUP(A391,Plano_V3!$A$26:$G$586,7,0)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modesg_out_empr_info_nfinorigem_scp3_emss</v>
      </c>
      <c r="B392" s="142" t="s">
        <v>26</v>
      </c>
      <c r="C392" s="138" t="s">
        <v>311</v>
      </c>
      <c r="D392" s="134" t="s">
        <v>40</v>
      </c>
      <c r="E392" s="135" t="s">
        <v>326</v>
      </c>
      <c r="F392" s="134" t="s">
        <v>322</v>
      </c>
      <c r="G392" s="136" t="str">
        <f>VLOOKUP(A392,Plano_V3!$A$26:$G$586,7,0)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modesg_out_empr_info_nfinref_date</v>
      </c>
      <c r="B393" s="142" t="s">
        <v>26</v>
      </c>
      <c r="C393" s="138" t="s">
        <v>311</v>
      </c>
      <c r="D393" s="134" t="s">
        <v>40</v>
      </c>
      <c r="E393" s="135" t="s">
        <v>326</v>
      </c>
      <c r="F393" s="134" t="s">
        <v>208</v>
      </c>
      <c r="G393" s="136" t="str">
        <f>VLOOKUP(A393,Plano_V3!$A$26:$G$586,7,0)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2" hidden="1" customHeight="1">
      <c r="A394" s="30" t="str">
        <f t="shared" si="8"/>
        <v>modesg_out_empr_info_nfinscp1_emss</v>
      </c>
      <c r="B394" s="142" t="s">
        <v>26</v>
      </c>
      <c r="C394" s="138" t="s">
        <v>311</v>
      </c>
      <c r="D394" s="134" t="s">
        <v>40</v>
      </c>
      <c r="E394" s="135" t="s">
        <v>326</v>
      </c>
      <c r="F394" s="134" t="s">
        <v>286</v>
      </c>
      <c r="G394" s="136" t="str">
        <f>VLOOKUP(A394,Plano_V3!$A$26:$G$586,7,0)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2" hidden="1" customHeight="1">
      <c r="A395" s="30" t="str">
        <f t="shared" si="8"/>
        <v>modesg_out_empr_info_nfinscp2_emss</v>
      </c>
      <c r="B395" s="142" t="s">
        <v>26</v>
      </c>
      <c r="C395" s="138" t="s">
        <v>311</v>
      </c>
      <c r="D395" s="134" t="s">
        <v>40</v>
      </c>
      <c r="E395" s="135" t="s">
        <v>326</v>
      </c>
      <c r="F395" s="134" t="s">
        <v>287</v>
      </c>
      <c r="G395" s="136" t="str">
        <f>VLOOKUP(A395,Plano_V3!$A$26:$G$586,7,0)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modesg_out_empr_info_nfinscp3_emss</v>
      </c>
      <c r="B396" s="142" t="s">
        <v>26</v>
      </c>
      <c r="C396" s="138" t="s">
        <v>311</v>
      </c>
      <c r="D396" s="134" t="s">
        <v>40</v>
      </c>
      <c r="E396" s="135" t="s">
        <v>326</v>
      </c>
      <c r="F396" s="134" t="s">
        <v>288</v>
      </c>
      <c r="G396" s="136" t="str">
        <f>VLOOKUP(A396,Plano_V3!$A$26:$G$586,7,0)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modesg_out_empr_info_nfinzcliente</v>
      </c>
      <c r="B397" s="142" t="s">
        <v>26</v>
      </c>
      <c r="C397" s="138" t="s">
        <v>311</v>
      </c>
      <c r="D397" s="134" t="s">
        <v>40</v>
      </c>
      <c r="E397" s="135" t="s">
        <v>326</v>
      </c>
      <c r="F397" s="134" t="s">
        <v>209</v>
      </c>
      <c r="G397" s="136" t="str">
        <f>VLOOKUP(A397,Plano_V3!$A$26:$G$586,7,0)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2" hidden="1" customHeight="1">
      <c r="A398" s="30" t="str">
        <f t="shared" si="8"/>
        <v>modesg_out_emss_vclsn.a.</v>
      </c>
      <c r="B398" s="142" t="s">
        <v>26</v>
      </c>
      <c r="C398" s="138" t="s">
        <v>311</v>
      </c>
      <c r="D398" s="134" t="s">
        <v>36</v>
      </c>
      <c r="E398" s="135" t="s">
        <v>332</v>
      </c>
      <c r="F398" s="134" t="s">
        <v>38</v>
      </c>
      <c r="G398" s="136" t="str">
        <f>VLOOKUP(A398,Plano_V3!$A$26:$G$586,7,0)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2" hidden="1" customHeight="1">
      <c r="A399" s="30" t="str">
        <f t="shared" si="8"/>
        <v>modesg_out_emss_vclscempbem</v>
      </c>
      <c r="B399" s="142" t="s">
        <v>26</v>
      </c>
      <c r="C399" s="138" t="s">
        <v>311</v>
      </c>
      <c r="D399" s="134" t="s">
        <v>40</v>
      </c>
      <c r="E399" s="135" t="s">
        <v>332</v>
      </c>
      <c r="F399" s="134" t="s">
        <v>314</v>
      </c>
      <c r="G399" s="136" t="str">
        <f>VLOOKUP(A399,Plano_V3!$A$26:$G$586,7,0)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2" hidden="1" customHeight="1">
      <c r="A400" s="30" t="str">
        <f t="shared" si="8"/>
        <v>modesg_out_emss_vclsckbalbem</v>
      </c>
      <c r="B400" s="142" t="s">
        <v>26</v>
      </c>
      <c r="C400" s="138" t="s">
        <v>311</v>
      </c>
      <c r="D400" s="134" t="s">
        <v>40</v>
      </c>
      <c r="E400" s="135" t="s">
        <v>332</v>
      </c>
      <c r="F400" s="134" t="s">
        <v>315</v>
      </c>
      <c r="G400" s="136" t="str">
        <f>VLOOKUP(A400,Plano_V3!$A$26:$G$586,7,0)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modesg_out_emss_vclsckctabem</v>
      </c>
      <c r="B401" s="142" t="s">
        <v>26</v>
      </c>
      <c r="C401" s="138" t="s">
        <v>311</v>
      </c>
      <c r="D401" s="134" t="s">
        <v>40</v>
      </c>
      <c r="E401" s="135" t="s">
        <v>332</v>
      </c>
      <c r="F401" s="134" t="s">
        <v>316</v>
      </c>
      <c r="G401" s="136" t="str">
        <f>VLOOKUP(A401,Plano_V3!$A$26:$G$586,7,0)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ref="A402:A465" si="9">E402&amp;F402</f>
        <v>modesg_out_emss_vclsckrefbem</v>
      </c>
      <c r="B402" s="142" t="s">
        <v>26</v>
      </c>
      <c r="C402" s="138" t="s">
        <v>311</v>
      </c>
      <c r="D402" s="134" t="s">
        <v>40</v>
      </c>
      <c r="E402" s="135" t="s">
        <v>332</v>
      </c>
      <c r="F402" s="134" t="s">
        <v>317</v>
      </c>
      <c r="G402" s="136" t="str">
        <f>VLOOKUP(A402,Plano_V3!$A$26:$G$586,7,0)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si="9"/>
        <v>modesg_out_emss_vclscnsm_co2</v>
      </c>
      <c r="B403" s="142" t="s">
        <v>26</v>
      </c>
      <c r="C403" s="138" t="s">
        <v>311</v>
      </c>
      <c r="D403" s="134" t="s">
        <v>40</v>
      </c>
      <c r="E403" s="135" t="s">
        <v>332</v>
      </c>
      <c r="F403" s="134" t="s">
        <v>188</v>
      </c>
      <c r="G403" s="136" t="str">
        <f>VLOOKUP(A403,Plano_V3!$A$26:$G$586,7,0)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2" hidden="1" customHeight="1">
      <c r="A404" s="30" t="str">
        <f t="shared" si="9"/>
        <v>modesg_out_emss_vclsorigem_scp1_emss</v>
      </c>
      <c r="B404" s="142" t="s">
        <v>26</v>
      </c>
      <c r="C404" s="138" t="s">
        <v>311</v>
      </c>
      <c r="D404" s="134" t="s">
        <v>40</v>
      </c>
      <c r="E404" s="135" t="s">
        <v>332</v>
      </c>
      <c r="F404" s="134" t="s">
        <v>320</v>
      </c>
      <c r="G404" s="136" t="str">
        <f>VLOOKUP(A404,Plano_V3!$A$26:$G$586,7,0)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modesg_out_emss_vclsorigem_scp2_emss</v>
      </c>
      <c r="B405" s="142" t="s">
        <v>26</v>
      </c>
      <c r="C405" s="138" t="s">
        <v>311</v>
      </c>
      <c r="D405" s="134" t="s">
        <v>40</v>
      </c>
      <c r="E405" s="135" t="s">
        <v>332</v>
      </c>
      <c r="F405" s="134" t="s">
        <v>321</v>
      </c>
      <c r="G405" s="136" t="str">
        <f>VLOOKUP(A405,Plano_V3!$A$26:$G$586,7,0)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modesg_out_emss_vclsorigem_scp3_emss</v>
      </c>
      <c r="B406" s="142" t="s">
        <v>26</v>
      </c>
      <c r="C406" s="138" t="s">
        <v>311</v>
      </c>
      <c r="D406" s="134" t="s">
        <v>40</v>
      </c>
      <c r="E406" s="135" t="s">
        <v>332</v>
      </c>
      <c r="F406" s="134" t="s">
        <v>322</v>
      </c>
      <c r="G406" s="136" t="str">
        <f>VLOOKUP(A406,Plano_V3!$A$26:$G$586,7,0)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modesg_out_emss_vclsref_date</v>
      </c>
      <c r="B407" s="142" t="s">
        <v>26</v>
      </c>
      <c r="C407" s="138" t="s">
        <v>311</v>
      </c>
      <c r="D407" s="134" t="s">
        <v>40</v>
      </c>
      <c r="E407" s="135" t="s">
        <v>332</v>
      </c>
      <c r="F407" s="134" t="s">
        <v>208</v>
      </c>
      <c r="G407" s="136" t="str">
        <f>VLOOKUP(A407,Plano_V3!$A$26:$G$586,7,0)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2" hidden="1" customHeight="1">
      <c r="A408" s="30" t="str">
        <f t="shared" si="9"/>
        <v>modesg_out_emss_vclsscp1_emss</v>
      </c>
      <c r="B408" s="142" t="s">
        <v>26</v>
      </c>
      <c r="C408" s="138" t="s">
        <v>311</v>
      </c>
      <c r="D408" s="134" t="s">
        <v>40</v>
      </c>
      <c r="E408" s="135" t="s">
        <v>332</v>
      </c>
      <c r="F408" s="134" t="s">
        <v>286</v>
      </c>
      <c r="G408" s="136" t="str">
        <f>VLOOKUP(A408,Plano_V3!$A$26:$G$586,7,0)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2" hidden="1" customHeight="1">
      <c r="A409" s="30" t="str">
        <f t="shared" si="9"/>
        <v>modesg_out_emss_vclsscp2_emss</v>
      </c>
      <c r="B409" s="142" t="s">
        <v>26</v>
      </c>
      <c r="C409" s="138" t="s">
        <v>311</v>
      </c>
      <c r="D409" s="134" t="s">
        <v>40</v>
      </c>
      <c r="E409" s="135" t="s">
        <v>332</v>
      </c>
      <c r="F409" s="134" t="s">
        <v>287</v>
      </c>
      <c r="G409" s="136" t="str">
        <f>VLOOKUP(A409,Plano_V3!$A$26:$G$586,7,0)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modesg_out_emss_vclsscp3_emss</v>
      </c>
      <c r="B410" s="142" t="s">
        <v>26</v>
      </c>
      <c r="C410" s="138" t="s">
        <v>311</v>
      </c>
      <c r="D410" s="134" t="s">
        <v>40</v>
      </c>
      <c r="E410" s="135" t="s">
        <v>332</v>
      </c>
      <c r="F410" s="134" t="s">
        <v>288</v>
      </c>
      <c r="G410" s="136" t="str">
        <f>VLOOKUP(A410,Plano_V3!$A$26:$G$586,7,0)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modesg_out_emss_vclsunidade_funcional_scp1_emss</v>
      </c>
      <c r="B411" s="142" t="s">
        <v>26</v>
      </c>
      <c r="C411" s="138" t="s">
        <v>311</v>
      </c>
      <c r="D411" s="134" t="s">
        <v>40</v>
      </c>
      <c r="E411" s="135" t="s">
        <v>332</v>
      </c>
      <c r="F411" s="134" t="s">
        <v>323</v>
      </c>
      <c r="G411" s="136" t="str">
        <f>VLOOKUP(A411,Plano_V3!$A$26:$G$586,7,0)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2" hidden="1" customHeight="1">
      <c r="A412" s="30" t="str">
        <f t="shared" si="9"/>
        <v>modesg_out_emss_vclsunidade_funcional_scp2_emss</v>
      </c>
      <c r="B412" s="142" t="s">
        <v>26</v>
      </c>
      <c r="C412" s="138" t="s">
        <v>311</v>
      </c>
      <c r="D412" s="134" t="s">
        <v>40</v>
      </c>
      <c r="E412" s="135" t="s">
        <v>332</v>
      </c>
      <c r="F412" s="134" t="s">
        <v>324</v>
      </c>
      <c r="G412" s="136" t="str">
        <f>VLOOKUP(A412,Plano_V3!$A$26:$G$586,7,0)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modesg_out_emss_vclsunidade_funcional_scp3_emss</v>
      </c>
      <c r="B413" s="142" t="s">
        <v>26</v>
      </c>
      <c r="C413" s="138" t="s">
        <v>311</v>
      </c>
      <c r="D413" s="134" t="s">
        <v>40</v>
      </c>
      <c r="E413" s="135" t="s">
        <v>332</v>
      </c>
      <c r="F413" s="134" t="s">
        <v>325</v>
      </c>
      <c r="G413" s="136" t="str">
        <f>VLOOKUP(A413,Plano_V3!$A$26:$G$586,7,0)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modesg_out_sfcs_taxon_europeian.a.</v>
      </c>
      <c r="B414" s="142" t="s">
        <v>26</v>
      </c>
      <c r="C414" s="138" t="s">
        <v>311</v>
      </c>
      <c r="D414" s="134" t="s">
        <v>36</v>
      </c>
      <c r="E414" s="135" t="s">
        <v>334</v>
      </c>
      <c r="F414" s="134" t="s">
        <v>38</v>
      </c>
      <c r="G414" s="136" t="str">
        <f>VLOOKUP(A414,Plano_V3!$A$26:$G$586,7,0)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2" hidden="1" customHeight="1">
      <c r="A415" s="30" t="str">
        <f t="shared" si="9"/>
        <v>modesg_out_sfcs_taxon_europeiacbalcao</v>
      </c>
      <c r="B415" s="142" t="s">
        <v>26</v>
      </c>
      <c r="C415" s="138" t="s">
        <v>311</v>
      </c>
      <c r="D415" s="134" t="s">
        <v>40</v>
      </c>
      <c r="E415" s="135" t="s">
        <v>334</v>
      </c>
      <c r="F415" s="134" t="s">
        <v>183</v>
      </c>
      <c r="G415" s="136" t="str">
        <f>VLOOKUP(A415,Plano_V3!$A$26:$G$586,7,0)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modesg_out_sfcs_taxon_europeiacempresa</v>
      </c>
      <c r="B416" s="142" t="s">
        <v>26</v>
      </c>
      <c r="C416" s="138" t="s">
        <v>311</v>
      </c>
      <c r="D416" s="134" t="s">
        <v>40</v>
      </c>
      <c r="E416" s="135" t="s">
        <v>334</v>
      </c>
      <c r="F416" s="134" t="s">
        <v>184</v>
      </c>
      <c r="G416" s="136" t="str">
        <f>VLOOKUP(A416,Plano_V3!$A$26:$G$586,7,0)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modesg_out_sfcs_taxon_europeiacnumecta</v>
      </c>
      <c r="B417" s="142" t="s">
        <v>26</v>
      </c>
      <c r="C417" s="138" t="s">
        <v>311</v>
      </c>
      <c r="D417" s="134" t="s">
        <v>40</v>
      </c>
      <c r="E417" s="135" t="s">
        <v>334</v>
      </c>
      <c r="F417" s="134" t="s">
        <v>189</v>
      </c>
      <c r="G417" s="136" t="str">
        <f>VLOOKUP(A417,Plano_V3!$A$26:$G$586,7,0)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modesg_out_sfcs_taxon_europeiacod_regra</v>
      </c>
      <c r="B418" s="142" t="s">
        <v>26</v>
      </c>
      <c r="C418" s="138" t="s">
        <v>311</v>
      </c>
      <c r="D418" s="134" t="s">
        <v>40</v>
      </c>
      <c r="E418" s="135" t="s">
        <v>334</v>
      </c>
      <c r="F418" s="134" t="s">
        <v>191</v>
      </c>
      <c r="G418" s="136" t="str">
        <f>VLOOKUP(A418,Plano_V3!$A$26:$G$586,7,0)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modesg_out_sfcs_taxon_europeiaordem</v>
      </c>
      <c r="B419" s="142" t="s">
        <v>26</v>
      </c>
      <c r="C419" s="138" t="s">
        <v>311</v>
      </c>
      <c r="D419" s="134" t="s">
        <v>40</v>
      </c>
      <c r="E419" s="135" t="s">
        <v>334</v>
      </c>
      <c r="F419" s="134" t="s">
        <v>211</v>
      </c>
      <c r="G419" s="136" t="str">
        <f>VLOOKUP(A419,Plano_V3!$A$26:$G$586,7,0)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2" hidden="1" customHeight="1">
      <c r="A420" s="30" t="str">
        <f t="shared" si="9"/>
        <v>modesg_out_sfcs_taxon_europeiamontante_pndrc</v>
      </c>
      <c r="B420" s="142" t="s">
        <v>26</v>
      </c>
      <c r="C420" s="138" t="s">
        <v>311</v>
      </c>
      <c r="D420" s="134" t="s">
        <v>40</v>
      </c>
      <c r="E420" s="135" t="s">
        <v>334</v>
      </c>
      <c r="F420" s="134" t="s">
        <v>202</v>
      </c>
      <c r="G420" s="136" t="str">
        <f>VLOOKUP(A420,Plano_V3!$A$26:$G$586,7,0)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2" hidden="1" customHeight="1">
      <c r="A421" s="30" t="str">
        <f t="shared" si="9"/>
        <v>modesg_out_sfcs_taxon_europeianome_ctgr_sfcs</v>
      </c>
      <c r="B421" s="142" t="s">
        <v>26</v>
      </c>
      <c r="C421" s="138" t="s">
        <v>311</v>
      </c>
      <c r="D421" s="134" t="s">
        <v>40</v>
      </c>
      <c r="E421" s="135" t="s">
        <v>334</v>
      </c>
      <c r="F421" s="134" t="s">
        <v>203</v>
      </c>
      <c r="G421" s="136" t="str">
        <f>VLOOKUP(A421,Plano_V3!$A$26:$G$586,7,0)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modesg_out_sfcs_taxon_europeianome_general_specific_purpose</v>
      </c>
      <c r="B422" s="142" t="s">
        <v>26</v>
      </c>
      <c r="C422" s="138" t="s">
        <v>311</v>
      </c>
      <c r="D422" s="134" t="s">
        <v>40</v>
      </c>
      <c r="E422" s="135" t="s">
        <v>334</v>
      </c>
      <c r="F422" s="134" t="s">
        <v>204</v>
      </c>
      <c r="G422" s="136" t="str">
        <f>VLOOKUP(A422,Plano_V3!$A$26:$G$586,7,0)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modesg_out_sfcs_taxon_europeianome_purpose_esg</v>
      </c>
      <c r="B423" s="142" t="s">
        <v>26</v>
      </c>
      <c r="C423" s="138" t="s">
        <v>311</v>
      </c>
      <c r="D423" s="134" t="s">
        <v>40</v>
      </c>
      <c r="E423" s="135" t="s">
        <v>334</v>
      </c>
      <c r="F423" s="134" t="s">
        <v>205</v>
      </c>
      <c r="G423" s="136" t="str">
        <f>VLOOKUP(A423,Plano_V3!$A$26:$G$586,7,0)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modesg_out_sfcs_taxon_europeianome_specific_eligible</v>
      </c>
      <c r="B424" s="142" t="s">
        <v>26</v>
      </c>
      <c r="C424" s="138" t="s">
        <v>311</v>
      </c>
      <c r="D424" s="134" t="s">
        <v>40</v>
      </c>
      <c r="E424" s="135" t="s">
        <v>334</v>
      </c>
      <c r="F424" s="134" t="s">
        <v>206</v>
      </c>
      <c r="G424" s="136" t="str">
        <f>VLOOKUP(A424,Plano_V3!$A$26:$G$586,7,0)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modesg_out_sfcs_taxon_europeianome_specific_sustainable</v>
      </c>
      <c r="B425" s="142" t="s">
        <v>26</v>
      </c>
      <c r="C425" s="138" t="s">
        <v>311</v>
      </c>
      <c r="D425" s="134" t="s">
        <v>40</v>
      </c>
      <c r="E425" s="135" t="s">
        <v>334</v>
      </c>
      <c r="F425" s="134" t="s">
        <v>207</v>
      </c>
      <c r="G425" s="136" t="str">
        <f>VLOOKUP(A425,Plano_V3!$A$26:$G$586,7,0)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modesg_out_sfcs_taxon_europeiaorigem</v>
      </c>
      <c r="B426" s="142" t="s">
        <v>26</v>
      </c>
      <c r="C426" s="138" t="s">
        <v>311</v>
      </c>
      <c r="D426" s="134" t="s">
        <v>40</v>
      </c>
      <c r="E426" s="135" t="s">
        <v>334</v>
      </c>
      <c r="F426" s="134" t="s">
        <v>72</v>
      </c>
      <c r="G426" s="136" t="str">
        <f>VLOOKUP(A426,Plano_V3!$A$26:$G$586,7,0)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2" hidden="1" customHeight="1">
      <c r="A427" s="30" t="str">
        <f t="shared" si="9"/>
        <v>modesg_out_sfcs_taxon_europeiaref_date</v>
      </c>
      <c r="B427" s="142" t="s">
        <v>26</v>
      </c>
      <c r="C427" s="138" t="s">
        <v>311</v>
      </c>
      <c r="D427" s="134" t="s">
        <v>40</v>
      </c>
      <c r="E427" s="135" t="s">
        <v>334</v>
      </c>
      <c r="F427" s="134" t="s">
        <v>208</v>
      </c>
      <c r="G427" s="136" t="str">
        <f>VLOOKUP(A427,Plano_V3!$A$26:$G$586,7,0)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2" hidden="1" customHeight="1">
      <c r="A428" s="30" t="str">
        <f t="shared" si="9"/>
        <v>modesg_out_sfcs_taxon_europeiazdeposit</v>
      </c>
      <c r="B428" s="142" t="s">
        <v>26</v>
      </c>
      <c r="C428" s="138" t="s">
        <v>311</v>
      </c>
      <c r="D428" s="134" t="s">
        <v>40</v>
      </c>
      <c r="E428" s="135" t="s">
        <v>334</v>
      </c>
      <c r="F428" s="134" t="s">
        <v>210</v>
      </c>
      <c r="G428" s="136" t="str">
        <f>VLOOKUP(A428,Plano_V3!$A$26:$G$586,7,0)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lt003_entitynace_esg</v>
      </c>
      <c r="B429" s="142" t="s">
        <v>26</v>
      </c>
      <c r="C429" s="138" t="s">
        <v>26</v>
      </c>
      <c r="D429" s="134" t="s">
        <v>40</v>
      </c>
      <c r="E429" s="137" t="s">
        <v>336</v>
      </c>
      <c r="F429" s="137" t="s">
        <v>337</v>
      </c>
      <c r="G429" s="136" t="str">
        <f>VLOOKUP(A429,Plano_V3!$A$26:$G$586,7,0)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2" hidden="1" customHeight="1">
      <c r="A430" s="30" t="str">
        <f t="shared" si="9"/>
        <v>lt003_entitytxnmy_elgbl_capex_ccm</v>
      </c>
      <c r="B430" s="142" t="s">
        <v>26</v>
      </c>
      <c r="C430" s="138" t="s">
        <v>26</v>
      </c>
      <c r="D430" s="134" t="s">
        <v>40</v>
      </c>
      <c r="E430" s="137" t="s">
        <v>336</v>
      </c>
      <c r="F430" s="137" t="s">
        <v>339</v>
      </c>
      <c r="G430" s="136" t="str">
        <f>VLOOKUP(A430,Plano_V3!$A$26:$G$586,7,0)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2" hidden="1" customHeight="1">
      <c r="A431" s="30" t="str">
        <f t="shared" si="9"/>
        <v>lt003_entitytxnmy_elgbl_trnvr_ccm</v>
      </c>
      <c r="B431" s="142" t="s">
        <v>26</v>
      </c>
      <c r="C431" s="138" t="s">
        <v>26</v>
      </c>
      <c r="D431" s="134" t="s">
        <v>40</v>
      </c>
      <c r="E431" s="137" t="s">
        <v>336</v>
      </c>
      <c r="F431" s="137" t="s">
        <v>340</v>
      </c>
      <c r="G431" s="136" t="str">
        <f>VLOOKUP(A431,Plano_V3!$A$26:$G$586,7,0)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hidden="1" customHeight="1">
      <c r="A432" s="30" t="str">
        <f t="shared" si="9"/>
        <v>lt003_entitytxnmy_elgbl_capex_cca</v>
      </c>
      <c r="B432" s="142" t="s">
        <v>26</v>
      </c>
      <c r="C432" s="138" t="s">
        <v>26</v>
      </c>
      <c r="D432" s="134" t="s">
        <v>40</v>
      </c>
      <c r="E432" s="137" t="s">
        <v>336</v>
      </c>
      <c r="F432" s="137" t="s">
        <v>341</v>
      </c>
      <c r="G432" s="136" t="str">
        <f>VLOOKUP(A432,Plano_V3!$A$26:$G$586,7,0)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hidden="1" customHeight="1">
      <c r="A433" s="30" t="str">
        <f t="shared" si="9"/>
        <v>lt003_entitytxnmy_elgbl_trnvr_cca</v>
      </c>
      <c r="B433" s="142" t="s">
        <v>26</v>
      </c>
      <c r="C433" s="138" t="s">
        <v>26</v>
      </c>
      <c r="D433" s="134" t="s">
        <v>40</v>
      </c>
      <c r="E433" s="137" t="s">
        <v>336</v>
      </c>
      <c r="F433" s="137" t="s">
        <v>342</v>
      </c>
      <c r="G433" s="136" t="str">
        <f>VLOOKUP(A433,Plano_V3!$A$26:$G$586,7,0)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hidden="1" customHeight="1">
      <c r="A434" s="30" t="str">
        <f t="shared" si="9"/>
        <v>lt003_entityenblng_capex_ccm</v>
      </c>
      <c r="B434" s="142" t="s">
        <v>26</v>
      </c>
      <c r="C434" s="138" t="s">
        <v>26</v>
      </c>
      <c r="D434" s="134" t="s">
        <v>40</v>
      </c>
      <c r="E434" s="137" t="s">
        <v>336</v>
      </c>
      <c r="F434" s="137" t="s">
        <v>343</v>
      </c>
      <c r="G434" s="136" t="str">
        <f>VLOOKUP(A434,Plano_V3!$A$26:$G$586,7,0)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hidden="1" customHeight="1">
      <c r="A435" s="30" t="str">
        <f t="shared" si="9"/>
        <v>lt003_entityenblng_capex_cca</v>
      </c>
      <c r="B435" s="142" t="s">
        <v>26</v>
      </c>
      <c r="C435" s="138" t="s">
        <v>26</v>
      </c>
      <c r="D435" s="134" t="s">
        <v>40</v>
      </c>
      <c r="E435" s="137" t="s">
        <v>336</v>
      </c>
      <c r="F435" s="137" t="s">
        <v>344</v>
      </c>
      <c r="G435" s="136" t="str">
        <f>VLOOKUP(A435,Plano_V3!$A$26:$G$586,7,0)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hidden="1" customHeight="1">
      <c r="A436" s="30" t="str">
        <f t="shared" si="9"/>
        <v>lt003_entitytrnstnl_capex</v>
      </c>
      <c r="B436" s="142" t="s">
        <v>26</v>
      </c>
      <c r="C436" s="138" t="s">
        <v>26</v>
      </c>
      <c r="D436" s="134" t="s">
        <v>40</v>
      </c>
      <c r="E436" s="137" t="s">
        <v>336</v>
      </c>
      <c r="F436" s="137" t="s">
        <v>345</v>
      </c>
      <c r="G436" s="136" t="str">
        <f>VLOOKUP(A436,Plano_V3!$A$26:$G$586,7,0)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hidden="1" customHeight="1">
      <c r="A437" s="30" t="str">
        <f t="shared" si="9"/>
        <v>lt003_entitypure_capex_ccm</v>
      </c>
      <c r="B437" s="142" t="s">
        <v>26</v>
      </c>
      <c r="C437" s="138" t="s">
        <v>26</v>
      </c>
      <c r="D437" s="134" t="s">
        <v>40</v>
      </c>
      <c r="E437" s="137" t="s">
        <v>336</v>
      </c>
      <c r="F437" s="137" t="s">
        <v>346</v>
      </c>
      <c r="G437" s="136" t="str">
        <f>VLOOKUP(A437,Plano_V3!$A$26:$G$586,7,0)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hidden="1" customHeight="1">
      <c r="A438" s="30" t="str">
        <f t="shared" si="9"/>
        <v>lt003_entitypure_capex_cca</v>
      </c>
      <c r="B438" s="142" t="s">
        <v>26</v>
      </c>
      <c r="C438" s="138" t="s">
        <v>26</v>
      </c>
      <c r="D438" s="134" t="s">
        <v>40</v>
      </c>
      <c r="E438" s="137" t="s">
        <v>336</v>
      </c>
      <c r="F438" s="137" t="s">
        <v>347</v>
      </c>
      <c r="G438" s="136" t="str">
        <f>VLOOKUP(A438,Plano_V3!$A$26:$G$586,7,0)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hidden="1" customHeight="1">
      <c r="A439" s="30" t="str">
        <f t="shared" si="9"/>
        <v>lt003_entityenblng_trnvr_ccm</v>
      </c>
      <c r="B439" s="142" t="s">
        <v>26</v>
      </c>
      <c r="C439" s="138" t="s">
        <v>26</v>
      </c>
      <c r="D439" s="134" t="s">
        <v>40</v>
      </c>
      <c r="E439" s="137" t="s">
        <v>336</v>
      </c>
      <c r="F439" s="137" t="s">
        <v>348</v>
      </c>
      <c r="G439" s="136" t="str">
        <f>VLOOKUP(A439,Plano_V3!$A$26:$G$586,7,0)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hidden="1" customHeight="1">
      <c r="A440" s="30" t="str">
        <f t="shared" si="9"/>
        <v>lt003_entityenblng_trnvr_cca</v>
      </c>
      <c r="B440" s="142" t="s">
        <v>26</v>
      </c>
      <c r="C440" s="138" t="s">
        <v>26</v>
      </c>
      <c r="D440" s="134" t="s">
        <v>40</v>
      </c>
      <c r="E440" s="137" t="s">
        <v>336</v>
      </c>
      <c r="F440" s="137" t="s">
        <v>349</v>
      </c>
      <c r="G440" s="136" t="str">
        <f>VLOOKUP(A440,Plano_V3!$A$26:$G$586,7,0)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hidden="1" customHeight="1">
      <c r="A441" s="30" t="str">
        <f t="shared" si="9"/>
        <v>lt003_entitytrnstnl_trnvr</v>
      </c>
      <c r="B441" s="142" t="s">
        <v>26</v>
      </c>
      <c r="C441" s="138" t="s">
        <v>26</v>
      </c>
      <c r="D441" s="134" t="s">
        <v>40</v>
      </c>
      <c r="E441" s="137" t="s">
        <v>336</v>
      </c>
      <c r="F441" s="137" t="s">
        <v>350</v>
      </c>
      <c r="G441" s="136" t="str">
        <f>VLOOKUP(A441,Plano_V3!$A$26:$G$586,7,0)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hidden="1" customHeight="1">
      <c r="A442" s="30" t="str">
        <f t="shared" si="9"/>
        <v>lt003_entitypure_trnvr_ccm</v>
      </c>
      <c r="B442" s="142" t="s">
        <v>26</v>
      </c>
      <c r="C442" s="138" t="s">
        <v>26</v>
      </c>
      <c r="D442" s="134" t="s">
        <v>40</v>
      </c>
      <c r="E442" s="137" t="s">
        <v>336</v>
      </c>
      <c r="F442" s="137" t="s">
        <v>351</v>
      </c>
      <c r="G442" s="136" t="str">
        <f>VLOOKUP(A442,Plano_V3!$A$26:$G$586,7,0)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hidden="1" customHeight="1">
      <c r="A443" s="30" t="str">
        <f t="shared" si="9"/>
        <v>lt003_entitypure_trnvr_cca</v>
      </c>
      <c r="B443" s="142" t="s">
        <v>26</v>
      </c>
      <c r="C443" s="138" t="s">
        <v>26</v>
      </c>
      <c r="D443" s="134" t="s">
        <v>40</v>
      </c>
      <c r="E443" s="137" t="s">
        <v>336</v>
      </c>
      <c r="F443" s="137" t="s">
        <v>352</v>
      </c>
      <c r="G443" s="136" t="str">
        <f>VLOOKUP(A443,Plano_V3!$A$26:$G$586,7,0)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hidden="1" customHeight="1">
      <c r="A444" s="30" t="str">
        <f t="shared" si="9"/>
        <v>lt003_entityflg_nfrd_applcblty</v>
      </c>
      <c r="B444" s="142" t="s">
        <v>26</v>
      </c>
      <c r="C444" s="138" t="s">
        <v>26</v>
      </c>
      <c r="D444" s="134" t="s">
        <v>40</v>
      </c>
      <c r="E444" s="137" t="s">
        <v>336</v>
      </c>
      <c r="F444" s="137" t="s">
        <v>353</v>
      </c>
      <c r="G444" s="136" t="str">
        <f>VLOOKUP(A444,Plano_V3!$A$26:$G$586,7,0)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2" hidden="1" customHeight="1">
      <c r="A445" s="30" t="str">
        <f t="shared" si="9"/>
        <v>lt003_entitycntrprty_emssns_scp1</v>
      </c>
      <c r="B445" s="142" t="s">
        <v>26</v>
      </c>
      <c r="C445" s="138" t="s">
        <v>26</v>
      </c>
      <c r="D445" s="134" t="s">
        <v>40</v>
      </c>
      <c r="E445" s="137" t="s">
        <v>336</v>
      </c>
      <c r="F445" s="137" t="s">
        <v>354</v>
      </c>
      <c r="G445" s="136" t="str">
        <f>VLOOKUP(A445,Plano_V3!$A$26:$G$586,7,0)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2" hidden="1" customHeight="1">
      <c r="A446" s="30" t="str">
        <f t="shared" si="9"/>
        <v>lt003_entitycntrprty_emssns_scp2</v>
      </c>
      <c r="B446" s="142" t="s">
        <v>26</v>
      </c>
      <c r="C446" s="138" t="s">
        <v>26</v>
      </c>
      <c r="D446" s="134" t="s">
        <v>40</v>
      </c>
      <c r="E446" s="137" t="s">
        <v>336</v>
      </c>
      <c r="F446" s="137" t="s">
        <v>355</v>
      </c>
      <c r="G446" s="136" t="str">
        <f>VLOOKUP(A446,Plano_V3!$A$26:$G$586,7,0)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hidden="1" customHeight="1">
      <c r="A447" s="30" t="str">
        <f t="shared" si="9"/>
        <v>lt003_entitycntrprty_emssns_scp3</v>
      </c>
      <c r="B447" s="142" t="s">
        <v>26</v>
      </c>
      <c r="C447" s="138" t="s">
        <v>26</v>
      </c>
      <c r="D447" s="134" t="s">
        <v>40</v>
      </c>
      <c r="E447" s="137" t="s">
        <v>336</v>
      </c>
      <c r="F447" s="137" t="s">
        <v>356</v>
      </c>
      <c r="G447" s="136" t="str">
        <f>VLOOKUP(A447,Plano_V3!$A$26:$G$586,7,0)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hidden="1" customHeight="1">
      <c r="A448" s="30" t="str">
        <f t="shared" si="9"/>
        <v>lt003_entityflg_excldd_eu_prs_algnd_bnchmrk</v>
      </c>
      <c r="B448" s="142" t="s">
        <v>26</v>
      </c>
      <c r="C448" s="138" t="s">
        <v>26</v>
      </c>
      <c r="D448" s="134" t="s">
        <v>40</v>
      </c>
      <c r="E448" s="137" t="s">
        <v>336</v>
      </c>
      <c r="F448" s="137" t="s">
        <v>357</v>
      </c>
      <c r="G448" s="136" t="str">
        <f>VLOOKUP(A448,Plano_V3!$A$26:$G$586,7,0)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2" hidden="1" customHeight="1">
      <c r="A449" s="30" t="str">
        <f t="shared" si="9"/>
        <v>lt003_entityflg_act_physcl_rsk</v>
      </c>
      <c r="B449" s="142" t="s">
        <v>26</v>
      </c>
      <c r="C449" s="138" t="s">
        <v>26</v>
      </c>
      <c r="D449" s="134" t="s">
        <v>40</v>
      </c>
      <c r="E449" s="137" t="s">
        <v>336</v>
      </c>
      <c r="F449" s="137" t="s">
        <v>358</v>
      </c>
      <c r="G449" s="136" t="str">
        <f>VLOOKUP(A449,Plano_V3!$A$26:$G$586,7,0)</f>
        <v>6. Em implementação (re-especificação)</v>
      </c>
      <c r="H449" s="136" t="s">
        <v>619</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2" hidden="1" customHeight="1">
      <c r="A450" s="30" t="str">
        <f t="shared" si="9"/>
        <v>lt003_entityflg_chrnc_physcl_rsk</v>
      </c>
      <c r="B450" s="142" t="s">
        <v>26</v>
      </c>
      <c r="C450" s="138" t="s">
        <v>26</v>
      </c>
      <c r="D450" s="134" t="s">
        <v>40</v>
      </c>
      <c r="E450" s="137" t="s">
        <v>336</v>
      </c>
      <c r="F450" s="137" t="s">
        <v>359</v>
      </c>
      <c r="G450" s="136" t="str">
        <f>VLOOKUP(A450,Plano_V3!$A$26:$G$586,7,0)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hidden="1" customHeight="1">
      <c r="A451" s="30" t="str">
        <f t="shared" si="9"/>
        <v>lt003_entitypst_cd</v>
      </c>
      <c r="B451" s="142" t="s">
        <v>26</v>
      </c>
      <c r="C451" s="138" t="s">
        <v>26</v>
      </c>
      <c r="D451" s="134" t="s">
        <v>40</v>
      </c>
      <c r="E451" s="137" t="s">
        <v>336</v>
      </c>
      <c r="F451" s="137" t="s">
        <v>360</v>
      </c>
      <c r="G451" s="136" t="str">
        <f>VLOOKUP(A451,Plano_V3!$A$26:$G$586,7,0)</f>
        <v>6. Em implementação (re-especificação)</v>
      </c>
      <c r="H451" s="136" t="s">
        <v>619</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2" hidden="1" customHeight="1">
      <c r="A452" s="30" t="str">
        <f t="shared" si="9"/>
        <v>lt003_entityesg_sbsctr</v>
      </c>
      <c r="B452" s="142" t="s">
        <v>26</v>
      </c>
      <c r="C452" s="138" t="s">
        <v>26</v>
      </c>
      <c r="D452" s="134" t="s">
        <v>40</v>
      </c>
      <c r="E452" s="137" t="s">
        <v>336</v>
      </c>
      <c r="F452" s="137" t="s">
        <v>361</v>
      </c>
      <c r="G452" s="136" t="str">
        <f>VLOOKUP(A452,Plano_V3!$A$26:$G$586,7,0)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2" customHeight="1">
      <c r="A453" s="30" t="str">
        <f t="shared" si="9"/>
        <v>lt003_entityttl_lblty</v>
      </c>
      <c r="B453" s="142" t="s">
        <v>26</v>
      </c>
      <c r="C453" s="138" t="s">
        <v>26</v>
      </c>
      <c r="D453" s="134" t="s">
        <v>40</v>
      </c>
      <c r="E453" s="137" t="s">
        <v>336</v>
      </c>
      <c r="F453" s="137" t="s">
        <v>362</v>
      </c>
      <c r="G453" s="136" t="str">
        <f>VLOOKUP(A453,Plano_V3!$A$26:$G$586,7,0)</f>
        <v>6. Em implementação (re-especificação)</v>
      </c>
      <c r="H453" s="136" t="s">
        <v>619</v>
      </c>
      <c r="I453" s="143"/>
      <c r="J453" s="153">
        <f>IF(VLOOKUP(A453,'Aux - pivots1'!$A:$E,3,0)=0, "",VLOOKUP(A453,'Aux - pivots1'!$A:$E,3,0))</f>
        <v>45593</v>
      </c>
      <c r="K453" s="153" t="str">
        <f>IF(VLOOKUP(A453,'Aux - pivots1'!$A:$E,4,0)=0, "",VLOOKUP(A453,'Aux - pivots1'!$A:$E,4,0))</f>
        <v/>
      </c>
      <c r="L453" s="153" t="str">
        <f>IF(VLOOKUP(A453,'Aux - pivots1'!$A:$E,5,0)=0, "",VLOOKUP(A453,'Aux - pivots1'!$A:$E,5,0))</f>
        <v/>
      </c>
      <c r="M453" s="209">
        <v>45593</v>
      </c>
      <c r="N453" s="209"/>
    </row>
    <row r="454" spans="1:14" ht="16.2" hidden="1" customHeight="1">
      <c r="A454" s="30" t="str">
        <f t="shared" si="9"/>
        <v>lt003_entityisin</v>
      </c>
      <c r="B454" s="142" t="s">
        <v>26</v>
      </c>
      <c r="C454" s="138" t="s">
        <v>26</v>
      </c>
      <c r="D454" s="134" t="s">
        <v>40</v>
      </c>
      <c r="E454" s="137" t="s">
        <v>336</v>
      </c>
      <c r="F454" s="137" t="s">
        <v>239</v>
      </c>
      <c r="G454" s="136" t="str">
        <f>VLOOKUP(A454,Plano_V3!$A$26:$G$586,7,0)</f>
        <v>6. Em implementação (re-especificação)</v>
      </c>
      <c r="H454" s="136" t="s">
        <v>619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2" customHeight="1">
      <c r="A455" s="30" t="str">
        <f t="shared" si="9"/>
        <v>lt003_entitygrp_annl_trnvr_le</v>
      </c>
      <c r="B455" s="142" t="s">
        <v>26</v>
      </c>
      <c r="C455" s="138" t="s">
        <v>26</v>
      </c>
      <c r="D455" s="134" t="s">
        <v>40</v>
      </c>
      <c r="E455" s="137" t="s">
        <v>336</v>
      </c>
      <c r="F455" s="137" t="s">
        <v>363</v>
      </c>
      <c r="G455" s="136" t="str">
        <f>VLOOKUP(A455,Plano_V3!$A$26:$G$586,7,0)</f>
        <v>6. Em implementação (re-especificação)</v>
      </c>
      <c r="H455" s="136" t="s">
        <v>619</v>
      </c>
      <c r="I455" s="143"/>
      <c r="J455" s="153">
        <f>IF(VLOOKUP(A455,'Aux - pivots1'!$A:$E,3,0)=0, "",VLOOKUP(A455,'Aux - pivots1'!$A:$E,3,0))</f>
        <v>45593</v>
      </c>
      <c r="K455" s="153" t="str">
        <f>IF(VLOOKUP(A455,'Aux - pivots1'!$A:$E,4,0)=0, "",VLOOKUP(A455,'Aux - pivots1'!$A:$E,4,0))</f>
        <v/>
      </c>
      <c r="L455" s="153" t="str">
        <f>IF(VLOOKUP(A455,'Aux - pivots1'!$A:$E,5,0)=0, "",VLOOKUP(A455,'Aux - pivots1'!$A:$E,5,0))</f>
        <v/>
      </c>
      <c r="M455" s="209">
        <v>45593</v>
      </c>
      <c r="N455" s="209"/>
    </row>
    <row r="456" spans="1:14" ht="16.2" customHeight="1">
      <c r="A456" s="30" t="str">
        <f t="shared" si="9"/>
        <v>lt003_entitygrp_ttl_lblty</v>
      </c>
      <c r="B456" s="142" t="s">
        <v>26</v>
      </c>
      <c r="C456" s="138" t="s">
        <v>26</v>
      </c>
      <c r="D456" s="134" t="s">
        <v>40</v>
      </c>
      <c r="E456" s="137" t="s">
        <v>336</v>
      </c>
      <c r="F456" s="137" t="s">
        <v>364</v>
      </c>
      <c r="G456" s="136" t="str">
        <f>VLOOKUP(A456,Plano_V3!$A$26:$G$586,7,0)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2" hidden="1" customHeight="1">
      <c r="A457" s="30" t="str">
        <f t="shared" si="9"/>
        <v>lt003_entityflg_grp_nfrd_applcblty</v>
      </c>
      <c r="B457" s="142" t="s">
        <v>26</v>
      </c>
      <c r="C457" s="138" t="s">
        <v>26</v>
      </c>
      <c r="D457" s="134" t="s">
        <v>40</v>
      </c>
      <c r="E457" s="137" t="s">
        <v>336</v>
      </c>
      <c r="F457" s="137" t="s">
        <v>365</v>
      </c>
      <c r="G457" s="136" t="str">
        <f>VLOOKUP(A457,Plano_V3!$A$26:$G$586,7,0)</f>
        <v>6. Em implementação (re-especificação)</v>
      </c>
      <c r="H457" s="136" t="s">
        <v>619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2" hidden="1" customHeight="1">
      <c r="A458" s="30" t="str">
        <f t="shared" si="9"/>
        <v>lt003_entitygrp_emssns_scp1</v>
      </c>
      <c r="B458" s="142" t="s">
        <v>26</v>
      </c>
      <c r="C458" s="138" t="s">
        <v>26</v>
      </c>
      <c r="D458" s="134" t="s">
        <v>40</v>
      </c>
      <c r="E458" s="137" t="s">
        <v>336</v>
      </c>
      <c r="F458" s="137" t="s">
        <v>366</v>
      </c>
      <c r="G458" s="136" t="str">
        <f>VLOOKUP(A458,Plano_V3!$A$26:$G$586,7,0)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hidden="1" customHeight="1">
      <c r="A459" s="30" t="str">
        <f t="shared" si="9"/>
        <v>lt003_entitygrp_emssns_scp2</v>
      </c>
      <c r="B459" s="142" t="s">
        <v>26</v>
      </c>
      <c r="C459" s="138" t="s">
        <v>26</v>
      </c>
      <c r="D459" s="134" t="s">
        <v>40</v>
      </c>
      <c r="E459" s="137" t="s">
        <v>336</v>
      </c>
      <c r="F459" s="137" t="s">
        <v>367</v>
      </c>
      <c r="G459" s="136" t="str">
        <f>VLOOKUP(A459,Plano_V3!$A$26:$G$586,7,0)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hidden="1" customHeight="1">
      <c r="A460" s="30" t="str">
        <f t="shared" si="9"/>
        <v>lt003_entitygrp_emssns_scp3</v>
      </c>
      <c r="B460" s="142" t="s">
        <v>26</v>
      </c>
      <c r="C460" s="138" t="s">
        <v>26</v>
      </c>
      <c r="D460" s="134" t="s">
        <v>40</v>
      </c>
      <c r="E460" s="137" t="s">
        <v>336</v>
      </c>
      <c r="F460" s="137" t="s">
        <v>368</v>
      </c>
      <c r="G460" s="136" t="str">
        <f>VLOOKUP(A460,Plano_V3!$A$26:$G$586,7,0)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hidden="1" customHeight="1">
      <c r="A461" s="30" t="str">
        <f t="shared" si="9"/>
        <v>lt004_protectiontyp_ep_scr</v>
      </c>
      <c r="B461" s="142" t="s">
        <v>26</v>
      </c>
      <c r="C461" s="138" t="s">
        <v>26</v>
      </c>
      <c r="D461" s="134" t="s">
        <v>40</v>
      </c>
      <c r="E461" s="137" t="s">
        <v>369</v>
      </c>
      <c r="F461" s="137" t="s">
        <v>370</v>
      </c>
      <c r="G461" s="136" t="str">
        <f>VLOOKUP(A461,Plano_V3!$A$26:$G$586,7,0)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2" hidden="1" customHeight="1">
      <c r="A462" s="30" t="str">
        <f t="shared" si="9"/>
        <v>lt004_protectionep_scr</v>
      </c>
      <c r="B462" s="142" t="s">
        <v>26</v>
      </c>
      <c r="C462" s="138" t="s">
        <v>26</v>
      </c>
      <c r="D462" s="134" t="s">
        <v>40</v>
      </c>
      <c r="E462" s="137" t="s">
        <v>369</v>
      </c>
      <c r="F462" s="137" t="s">
        <v>371</v>
      </c>
      <c r="G462" s="136" t="str">
        <f>VLOOKUP(A462,Plano_V3!$A$26:$G$586,7,0)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2" hidden="1" customHeight="1">
      <c r="A463" s="30" t="str">
        <f t="shared" si="9"/>
        <v>lt004_protectiontyp_epc_lbl</v>
      </c>
      <c r="B463" s="142" t="s">
        <v>26</v>
      </c>
      <c r="C463" s="138" t="s">
        <v>26</v>
      </c>
      <c r="D463" s="134" t="s">
        <v>40</v>
      </c>
      <c r="E463" s="137" t="s">
        <v>369</v>
      </c>
      <c r="F463" s="137" t="s">
        <v>372</v>
      </c>
      <c r="G463" s="136" t="str">
        <f>VLOOKUP(A463,Plano_V3!$A$26:$G$586,7,0)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hidden="1" customHeight="1">
      <c r="A464" s="30" t="str">
        <f t="shared" si="9"/>
        <v>lt004_protectionepc_lbl</v>
      </c>
      <c r="B464" s="142" t="s">
        <v>26</v>
      </c>
      <c r="C464" s="138" t="s">
        <v>26</v>
      </c>
      <c r="D464" s="134" t="s">
        <v>40</v>
      </c>
      <c r="E464" s="137" t="s">
        <v>369</v>
      </c>
      <c r="F464" s="137" t="s">
        <v>373</v>
      </c>
      <c r="G464" s="136" t="str">
        <f>VLOOKUP(A464,Plano_V3!$A$26:$G$586,7,0)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hidden="1" customHeight="1">
      <c r="A465" s="30" t="str">
        <f t="shared" si="9"/>
        <v>lt004_protectionemssns_scp1_prtctn</v>
      </c>
      <c r="B465" s="142" t="s">
        <v>26</v>
      </c>
      <c r="C465" s="138" t="s">
        <v>26</v>
      </c>
      <c r="D465" s="134" t="s">
        <v>40</v>
      </c>
      <c r="E465" s="137" t="s">
        <v>369</v>
      </c>
      <c r="F465" s="137" t="s">
        <v>374</v>
      </c>
      <c r="G465" s="136" t="str">
        <f>VLOOKUP(A465,Plano_V3!$A$26:$G$586,7,0)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hidden="1" customHeight="1">
      <c r="A466" s="30" t="str">
        <f t="shared" ref="A466:A529" si="10">E466&amp;F466</f>
        <v>lt004_protectionemssns_scp2_prtctn</v>
      </c>
      <c r="B466" s="142" t="s">
        <v>26</v>
      </c>
      <c r="C466" s="138" t="s">
        <v>26</v>
      </c>
      <c r="D466" s="134" t="s">
        <v>40</v>
      </c>
      <c r="E466" s="137" t="s">
        <v>369</v>
      </c>
      <c r="F466" s="137" t="s">
        <v>375</v>
      </c>
      <c r="G466" s="136" t="str">
        <f>VLOOKUP(A466,Plano_V3!$A$26:$G$586,7,0)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hidden="1" customHeight="1">
      <c r="A467" s="30" t="str">
        <f t="shared" si="10"/>
        <v>lt004_protectionemssns_scp3_prtctn</v>
      </c>
      <c r="B467" s="142" t="s">
        <v>26</v>
      </c>
      <c r="C467" s="138" t="s">
        <v>26</v>
      </c>
      <c r="D467" s="134" t="s">
        <v>40</v>
      </c>
      <c r="E467" s="137" t="s">
        <v>369</v>
      </c>
      <c r="F467" s="137" t="s">
        <v>376</v>
      </c>
      <c r="G467" s="136" t="str">
        <f>VLOOKUP(A467,Plano_V3!$A$26:$G$586,7,0)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hidden="1" customHeight="1">
      <c r="A468" s="30" t="str">
        <f t="shared" si="10"/>
        <v>lt004_protectionmthd_usd_prtctn_scp_1</v>
      </c>
      <c r="B468" s="142" t="s">
        <v>26</v>
      </c>
      <c r="C468" s="138" t="s">
        <v>26</v>
      </c>
      <c r="D468" s="134" t="s">
        <v>40</v>
      </c>
      <c r="E468" s="137" t="s">
        <v>369</v>
      </c>
      <c r="F468" s="137" t="s">
        <v>377</v>
      </c>
      <c r="G468" s="136" t="str">
        <f>VLOOKUP(A468,Plano_V3!$A$26:$G$586,7,0)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hidden="1" customHeight="1">
      <c r="A469" s="30" t="str">
        <f t="shared" si="10"/>
        <v>lt004_protectionmthd_usd_prtctn_scp_2</v>
      </c>
      <c r="B469" s="142" t="s">
        <v>26</v>
      </c>
      <c r="C469" s="138" t="s">
        <v>26</v>
      </c>
      <c r="D469" s="134" t="s">
        <v>40</v>
      </c>
      <c r="E469" s="137" t="s">
        <v>369</v>
      </c>
      <c r="F469" s="137" t="s">
        <v>378</v>
      </c>
      <c r="G469" s="136" t="str">
        <f>VLOOKUP(A469,Plano_V3!$A$26:$G$586,7,0)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hidden="1" customHeight="1">
      <c r="A470" s="30" t="str">
        <f t="shared" si="10"/>
        <v>lt004_protectionmthd_usd_prtctn_scp_3</v>
      </c>
      <c r="B470" s="142" t="s">
        <v>26</v>
      </c>
      <c r="C470" s="138" t="s">
        <v>26</v>
      </c>
      <c r="D470" s="134" t="s">
        <v>40</v>
      </c>
      <c r="E470" s="137" t="s">
        <v>369</v>
      </c>
      <c r="F470" s="137" t="s">
        <v>379</v>
      </c>
      <c r="G470" s="136" t="str">
        <f>VLOOKUP(A470,Plano_V3!$A$26:$G$586,7,0)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hidden="1" customHeight="1">
      <c r="A471" s="30" t="str">
        <f t="shared" si="10"/>
        <v>lt004_protectionflg_act_physcl_rsk</v>
      </c>
      <c r="B471" s="142" t="s">
        <v>26</v>
      </c>
      <c r="C471" s="138" t="s">
        <v>26</v>
      </c>
      <c r="D471" s="134" t="s">
        <v>40</v>
      </c>
      <c r="E471" s="137" t="s">
        <v>369</v>
      </c>
      <c r="F471" s="137" t="s">
        <v>358</v>
      </c>
      <c r="G471" s="136" t="str">
        <f>VLOOKUP(A471,Plano_V3!$A$26:$G$586,7,0)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hidden="1" customHeight="1">
      <c r="A472" s="30" t="str">
        <f t="shared" si="10"/>
        <v>lt004_protectionflg_chrnc_physcl_rsk</v>
      </c>
      <c r="B472" s="142" t="s">
        <v>26</v>
      </c>
      <c r="C472" s="138" t="s">
        <v>26</v>
      </c>
      <c r="D472" s="134" t="s">
        <v>40</v>
      </c>
      <c r="E472" s="137" t="s">
        <v>369</v>
      </c>
      <c r="F472" s="137" t="s">
        <v>359</v>
      </c>
      <c r="G472" s="136" t="str">
        <f>VLOOKUP(A472,Plano_V3!$A$26:$G$586,7,0)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hidden="1" customHeight="1">
      <c r="A473" s="30" t="str">
        <f t="shared" si="10"/>
        <v>lt002_instrumentrsk_mtgtd_cct</v>
      </c>
      <c r="B473" s="142" t="s">
        <v>26</v>
      </c>
      <c r="C473" s="138" t="s">
        <v>26</v>
      </c>
      <c r="D473" s="134" t="s">
        <v>40</v>
      </c>
      <c r="E473" s="137" t="s">
        <v>380</v>
      </c>
      <c r="F473" s="137" t="s">
        <v>381</v>
      </c>
      <c r="G473" s="136" t="str">
        <f>VLOOKUP(A473,Plano_V3!$A$26:$G$586,7,0)</f>
        <v>2.2 Em Re-especificação</v>
      </c>
      <c r="H473" s="136" t="s">
        <v>1948</v>
      </c>
      <c r="I473" s="143"/>
      <c r="J473" s="153" t="str">
        <f>IF(VLOOKUP(A473,'Aux - pivots1'!$A:$E,3,0)=0, "",VLOOKUP(A473,'Aux - pivots1'!$A:$E,3,0))</f>
        <v/>
      </c>
      <c r="K473" s="153" t="str">
        <f>IF(VLOOKUP(A473,'Aux - pivots1'!$A:$E,4,0)=0, "",VLOOKUP(A473,'Aux - pivots1'!$A:$E,4,0))</f>
        <v/>
      </c>
      <c r="L473" s="153" t="str">
        <f>IF(VLOOKUP(A473,'Aux - pivots1'!$A:$E,5,0)=0, "",VLOOKUP(A473,'Aux - pivots1'!$A:$E,5,0))</f>
        <v/>
      </c>
      <c r="M473" s="209">
        <v>45595</v>
      </c>
      <c r="N473" s="209"/>
    </row>
    <row r="474" spans="1:14" ht="16.2" hidden="1" customHeight="1">
      <c r="A474" s="30" t="str">
        <f t="shared" si="10"/>
        <v>lt002_instrumentrsk_mtgtd_ccp</v>
      </c>
      <c r="B474" s="142" t="s">
        <v>26</v>
      </c>
      <c r="C474" s="138" t="s">
        <v>26</v>
      </c>
      <c r="D474" s="134" t="s">
        <v>40</v>
      </c>
      <c r="E474" s="137" t="s">
        <v>380</v>
      </c>
      <c r="F474" s="137" t="s">
        <v>382</v>
      </c>
      <c r="G474" s="136" t="str">
        <f>VLOOKUP(A474,Plano_V3!$A$26:$G$586,7,0)</f>
        <v>2.2 Em Re-especificação</v>
      </c>
      <c r="H474" s="136" t="s">
        <v>1948</v>
      </c>
      <c r="I474" s="143"/>
      <c r="J474" s="153" t="str">
        <f>IF(VLOOKUP(A474,'Aux - pivots1'!$A:$E,3,0)=0, "",VLOOKUP(A474,'Aux - pivots1'!$A:$E,3,0))</f>
        <v/>
      </c>
      <c r="K474" s="153" t="str">
        <f>IF(VLOOKUP(A474,'Aux - pivots1'!$A:$E,4,0)=0, "",VLOOKUP(A474,'Aux - pivots1'!$A:$E,4,0))</f>
        <v/>
      </c>
      <c r="L474" s="153" t="str">
        <f>IF(VLOOKUP(A474,'Aux - pivots1'!$A:$E,5,0)=0, "",VLOOKUP(A474,'Aux - pivots1'!$A:$E,5,0))</f>
        <v/>
      </c>
      <c r="M474" s="209">
        <v>45595</v>
      </c>
      <c r="N474" s="209"/>
    </row>
    <row r="475" spans="1:14" ht="16.2" customHeight="1">
      <c r="A475" s="30" t="str">
        <f t="shared" si="10"/>
        <v>lt002_instrumentenvrnmntl_objctv</v>
      </c>
      <c r="B475" s="142" t="s">
        <v>26</v>
      </c>
      <c r="C475" s="138" t="s">
        <v>26</v>
      </c>
      <c r="D475" s="134" t="s">
        <v>40</v>
      </c>
      <c r="E475" s="137" t="s">
        <v>380</v>
      </c>
      <c r="F475" s="137" t="s">
        <v>383</v>
      </c>
      <c r="G475" s="136" t="str">
        <f>VLOOKUP(A475,Plano_V3!$A$26:$G$586,7,0)</f>
        <v>6. Em implementação (re-especificação)</v>
      </c>
      <c r="H475" s="136" t="s">
        <v>616</v>
      </c>
      <c r="I475" s="143" t="s">
        <v>1958</v>
      </c>
      <c r="J475" s="153">
        <f>IF(VLOOKUP(A475,'Aux - pivots1'!$A:$E,3,0)=0, "",VLOOKUP(A475,'Aux - pivots1'!$A:$E,3,0))</f>
        <v>45593</v>
      </c>
      <c r="K475" s="153" t="str">
        <f>IF(VLOOKUP(A475,'Aux - pivots1'!$A:$E,4,0)=0, "",VLOOKUP(A475,'Aux - pivots1'!$A:$E,4,0))</f>
        <v/>
      </c>
      <c r="L475" s="153" t="str">
        <f>IF(VLOOKUP(A475,'Aux - pivots1'!$A:$E,5,0)=0, "",VLOOKUP(A475,'Aux - pivots1'!$A:$E,5,0))</f>
        <v/>
      </c>
      <c r="M475" s="209">
        <v>45593</v>
      </c>
      <c r="N475" s="209"/>
    </row>
    <row r="476" spans="1:14" ht="16.2" customHeight="1">
      <c r="A476" s="30" t="str">
        <f t="shared" si="10"/>
        <v>lt002_instrumenttyp_actvty</v>
      </c>
      <c r="B476" s="142" t="s">
        <v>26</v>
      </c>
      <c r="C476" s="138" t="s">
        <v>26</v>
      </c>
      <c r="D476" s="134" t="s">
        <v>40</v>
      </c>
      <c r="E476" s="137" t="s">
        <v>380</v>
      </c>
      <c r="F476" s="137" t="s">
        <v>384</v>
      </c>
      <c r="G476" s="136" t="str">
        <f>VLOOKUP(A476,Plano_V3!$A$26:$G$586,7,0)</f>
        <v>6. Em implementação (re-especificação)</v>
      </c>
      <c r="H476" s="136" t="s">
        <v>616</v>
      </c>
      <c r="I476" s="143" t="s">
        <v>1958</v>
      </c>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2" hidden="1" customHeight="1">
      <c r="A477" s="30" t="str">
        <f t="shared" si="10"/>
        <v>lt002_instrumentlns_clltrlzd_clssfctn</v>
      </c>
      <c r="B477" s="142" t="s">
        <v>26</v>
      </c>
      <c r="C477" s="138" t="s">
        <v>26</v>
      </c>
      <c r="D477" s="134" t="s">
        <v>40</v>
      </c>
      <c r="E477" s="137" t="s">
        <v>380</v>
      </c>
      <c r="F477" s="137" t="s">
        <v>385</v>
      </c>
      <c r="G477" s="136" t="str">
        <f>VLOOKUP(A477,Plano_V3!$A$26:$G$586,7,0)</f>
        <v>1. Concluído</v>
      </c>
      <c r="H477" s="136" t="s">
        <v>1947</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2">
      <c r="A478" s="30" t="str">
        <f t="shared" si="10"/>
        <v>lt002_instrumentmthd_usd_instrmnt_scp_1</v>
      </c>
      <c r="B478" s="142" t="s">
        <v>26</v>
      </c>
      <c r="C478" s="138" t="s">
        <v>26</v>
      </c>
      <c r="D478" s="134" t="s">
        <v>40</v>
      </c>
      <c r="E478" s="137" t="s">
        <v>380</v>
      </c>
      <c r="F478" s="137" t="s">
        <v>386</v>
      </c>
      <c r="G478" s="136" t="str">
        <f>VLOOKUP(A478,Plano_V3!$A$26:$G$586,7,0)</f>
        <v>6. Em implementação (re-especificação)</v>
      </c>
      <c r="H478" s="136" t="s">
        <v>1948</v>
      </c>
      <c r="I478" s="143" t="s">
        <v>1951</v>
      </c>
      <c r="J478" s="153">
        <f>IF(VLOOKUP(A478,'Aux - pivots1'!$A:$E,3,0)=0, "",VLOOKUP(A478,'Aux - pivots1'!$A:$E,3,0))</f>
        <v>45593</v>
      </c>
      <c r="K478" s="153" t="str">
        <f>IF(VLOOKUP(A478,'Aux - pivots1'!$A:$E,4,0)=0, "",VLOOKUP(A478,'Aux - pivots1'!$A:$E,4,0))</f>
        <v/>
      </c>
      <c r="L478" s="153" t="str">
        <f>IF(VLOOKUP(A478,'Aux - pivots1'!$A:$E,5,0)=0, "",VLOOKUP(A478,'Aux - pivots1'!$A:$E,5,0))</f>
        <v/>
      </c>
      <c r="M478" s="209">
        <v>45593</v>
      </c>
      <c r="N478" s="209"/>
    </row>
    <row r="479" spans="1:14" ht="16.2">
      <c r="A479" s="30" t="str">
        <f t="shared" si="10"/>
        <v>lt002_instrumentmthd_usd_instrmnt_scp_2</v>
      </c>
      <c r="B479" s="142" t="s">
        <v>26</v>
      </c>
      <c r="C479" s="138" t="s">
        <v>26</v>
      </c>
      <c r="D479" s="134" t="s">
        <v>40</v>
      </c>
      <c r="E479" s="137" t="s">
        <v>380</v>
      </c>
      <c r="F479" s="137" t="s">
        <v>387</v>
      </c>
      <c r="G479" s="136" t="str">
        <f>VLOOKUP(A479,Plano_V3!$A$26:$G$586,7,0)</f>
        <v>6. Em implementação (re-especificação)</v>
      </c>
      <c r="H479" s="136" t="s">
        <v>1948</v>
      </c>
      <c r="I479" s="143" t="s">
        <v>1951</v>
      </c>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lt002_instrumentmthd_usd_instrmnt_scp_3</v>
      </c>
      <c r="B480" s="142" t="s">
        <v>26</v>
      </c>
      <c r="C480" s="138" t="s">
        <v>26</v>
      </c>
      <c r="D480" s="134" t="s">
        <v>40</v>
      </c>
      <c r="E480" s="137" t="s">
        <v>380</v>
      </c>
      <c r="F480" s="137" t="s">
        <v>388</v>
      </c>
      <c r="G480" s="136" t="str">
        <f>VLOOKUP(A480,Plano_V3!$A$26:$G$586,7,0)</f>
        <v>6. Em implementação (re-especificação)</v>
      </c>
      <c r="H480" s="136" t="s">
        <v>1948</v>
      </c>
      <c r="I480" s="143" t="s">
        <v>1951</v>
      </c>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2" customHeight="1">
      <c r="A481" s="30" t="str">
        <f t="shared" si="10"/>
        <v>lt002_instrumentsstnbl_ctgry_txnmy</v>
      </c>
      <c r="B481" s="142" t="s">
        <v>26</v>
      </c>
      <c r="C481" s="138" t="s">
        <v>26</v>
      </c>
      <c r="D481" s="134" t="s">
        <v>40</v>
      </c>
      <c r="E481" s="137" t="s">
        <v>380</v>
      </c>
      <c r="F481" s="137" t="s">
        <v>389</v>
      </c>
      <c r="G481" s="136" t="str">
        <f>VLOOKUP(A481,Plano_V3!$A$26:$G$586,7,0)</f>
        <v>6. Em implementação (re-especificação)</v>
      </c>
      <c r="H481" s="136" t="s">
        <v>619</v>
      </c>
      <c r="I481" s="143" t="s">
        <v>1957</v>
      </c>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lt825_mthd_usd_instrmntambito</v>
      </c>
      <c r="B482" s="142" t="s">
        <v>26</v>
      </c>
      <c r="C482" s="138" t="s">
        <v>26</v>
      </c>
      <c r="D482" s="134" t="s">
        <v>40</v>
      </c>
      <c r="E482" s="137" t="s">
        <v>390</v>
      </c>
      <c r="F482" s="137" t="s">
        <v>391</v>
      </c>
      <c r="G482" s="136" t="str">
        <f>VLOOKUP(A482,Plano_V3!$A$26:$G$586,7,0)</f>
        <v>6. Em implementação (re-especificação)</v>
      </c>
      <c r="H482" s="136" t="s">
        <v>1947</v>
      </c>
      <c r="I482" s="143" t="s">
        <v>1951</v>
      </c>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2" customHeight="1">
      <c r="A483" s="30" t="str">
        <f t="shared" si="10"/>
        <v>lt825_mthd_usd_instrmntref_date</v>
      </c>
      <c r="B483" s="142" t="s">
        <v>26</v>
      </c>
      <c r="C483" s="138" t="s">
        <v>26</v>
      </c>
      <c r="D483" s="134" t="s">
        <v>40</v>
      </c>
      <c r="E483" s="137" t="s">
        <v>390</v>
      </c>
      <c r="F483" s="137" t="s">
        <v>208</v>
      </c>
      <c r="G483" s="136" t="str">
        <f>VLOOKUP(A483,Plano_V3!$A$26:$G$586,7,0)</f>
        <v>6. Em implementação (re-especificação)</v>
      </c>
      <c r="H483" s="136" t="s">
        <v>1947</v>
      </c>
      <c r="I483" s="143" t="s">
        <v>1951</v>
      </c>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2" customHeight="1">
      <c r="A484" s="30" t="str">
        <f t="shared" si="10"/>
        <v>lt825_mthd_usd_instrmntordem</v>
      </c>
      <c r="B484" s="142" t="s">
        <v>26</v>
      </c>
      <c r="C484" s="138" t="s">
        <v>26</v>
      </c>
      <c r="D484" s="134" t="s">
        <v>40</v>
      </c>
      <c r="E484" s="137" t="s">
        <v>390</v>
      </c>
      <c r="F484" s="137" t="s">
        <v>211</v>
      </c>
      <c r="G484" s="136" t="str">
        <f>VLOOKUP(A484,Plano_V3!$A$26:$G$586,7,0)</f>
        <v>6. Em implementação (re-especificação)</v>
      </c>
      <c r="H484" s="136" t="s">
        <v>1947</v>
      </c>
      <c r="I484" s="143" t="s">
        <v>1951</v>
      </c>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2" customHeight="1">
      <c r="A485" s="30" t="str">
        <f t="shared" si="10"/>
        <v>lt825_mthd_usd_instrmnttabela</v>
      </c>
      <c r="B485" s="142" t="s">
        <v>26</v>
      </c>
      <c r="C485" s="138" t="s">
        <v>26</v>
      </c>
      <c r="D485" s="134" t="s">
        <v>40</v>
      </c>
      <c r="E485" s="137" t="s">
        <v>390</v>
      </c>
      <c r="F485" s="137" t="s">
        <v>392</v>
      </c>
      <c r="G485" s="136" t="str">
        <f>VLOOKUP(A485,Plano_V3!$A$26:$G$586,7,0)</f>
        <v>6. Em implementação (re-especificação)</v>
      </c>
      <c r="H485" s="136" t="s">
        <v>1947</v>
      </c>
      <c r="I485" s="143" t="s">
        <v>1951</v>
      </c>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2">
      <c r="A486" s="30" t="str">
        <f t="shared" si="10"/>
        <v>lt825_mthd_usd_instrmntorigem_scp1_emss</v>
      </c>
      <c r="B486" s="142" t="s">
        <v>26</v>
      </c>
      <c r="C486" s="138" t="s">
        <v>26</v>
      </c>
      <c r="D486" s="134" t="s">
        <v>40</v>
      </c>
      <c r="E486" s="137" t="s">
        <v>390</v>
      </c>
      <c r="F486" s="137" t="s">
        <v>320</v>
      </c>
      <c r="G486" s="136" t="str">
        <f>VLOOKUP(A486,Plano_V3!$A$26:$G$586,7,0)</f>
        <v>6. Em implementação (re-especificação)</v>
      </c>
      <c r="H486" s="136" t="s">
        <v>1948</v>
      </c>
      <c r="I486" s="143" t="s">
        <v>1951</v>
      </c>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2">
      <c r="A487" s="30" t="str">
        <f t="shared" si="10"/>
        <v>lt825_mthd_usd_instrmntorigem_scp2_emss</v>
      </c>
      <c r="B487" s="142" t="s">
        <v>26</v>
      </c>
      <c r="C487" s="138" t="s">
        <v>26</v>
      </c>
      <c r="D487" s="134" t="s">
        <v>40</v>
      </c>
      <c r="E487" s="137" t="s">
        <v>390</v>
      </c>
      <c r="F487" s="137" t="s">
        <v>321</v>
      </c>
      <c r="G487" s="136" t="str">
        <f>VLOOKUP(A487,Plano_V3!$A$26:$G$586,7,0)</f>
        <v>6. Em implementação (re-especificação)</v>
      </c>
      <c r="H487" s="136" t="s">
        <v>1948</v>
      </c>
      <c r="I487" s="143" t="s">
        <v>1951</v>
      </c>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2">
      <c r="A488" s="30" t="str">
        <f t="shared" si="10"/>
        <v>lt825_mthd_usd_instrmntorigem_scp3_emss</v>
      </c>
      <c r="B488" s="142" t="s">
        <v>26</v>
      </c>
      <c r="C488" s="138" t="s">
        <v>26</v>
      </c>
      <c r="D488" s="134" t="s">
        <v>40</v>
      </c>
      <c r="E488" s="137" t="s">
        <v>390</v>
      </c>
      <c r="F488" s="137" t="s">
        <v>322</v>
      </c>
      <c r="G488" s="136" t="str">
        <f>VLOOKUP(A488,Plano_V3!$A$26:$G$586,7,0)</f>
        <v>6. Em implementação (re-especificação)</v>
      </c>
      <c r="H488" s="136" t="s">
        <v>1948</v>
      </c>
      <c r="I488" s="143" t="s">
        <v>1951</v>
      </c>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2">
      <c r="A489" s="30" t="str">
        <f t="shared" si="10"/>
        <v>lt825_mthd_usd_instrmntmthd_usd_instrmnt_scp_1</v>
      </c>
      <c r="B489" s="142" t="s">
        <v>26</v>
      </c>
      <c r="C489" s="138" t="s">
        <v>26</v>
      </c>
      <c r="D489" s="134" t="s">
        <v>40</v>
      </c>
      <c r="E489" s="137" t="s">
        <v>390</v>
      </c>
      <c r="F489" s="137" t="s">
        <v>386</v>
      </c>
      <c r="G489" s="136" t="str">
        <f>VLOOKUP(A489,Plano_V3!$A$26:$G$586,7,0)</f>
        <v>6. Em implementação (re-especificação)</v>
      </c>
      <c r="H489" s="136" t="s">
        <v>1948</v>
      </c>
      <c r="I489" s="143" t="s">
        <v>1951</v>
      </c>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2">
      <c r="A490" s="30" t="str">
        <f t="shared" si="10"/>
        <v>lt825_mthd_usd_instrmntmthd_usd_instrmnt_scp_2</v>
      </c>
      <c r="B490" s="142" t="s">
        <v>26</v>
      </c>
      <c r="C490" s="138" t="s">
        <v>26</v>
      </c>
      <c r="D490" s="134" t="s">
        <v>40</v>
      </c>
      <c r="E490" s="137" t="s">
        <v>390</v>
      </c>
      <c r="F490" s="137" t="s">
        <v>387</v>
      </c>
      <c r="G490" s="136" t="str">
        <f>VLOOKUP(A490,Plano_V3!$A$26:$G$586,7,0)</f>
        <v>6. Em implementação (re-especificação)</v>
      </c>
      <c r="H490" s="136" t="s">
        <v>1948</v>
      </c>
      <c r="I490" s="143" t="s">
        <v>1951</v>
      </c>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2">
      <c r="A491" s="30" t="str">
        <f t="shared" si="10"/>
        <v>lt825_mthd_usd_instrmntmthd_usd_instrmnt_scp_3</v>
      </c>
      <c r="B491" s="142" t="s">
        <v>26</v>
      </c>
      <c r="C491" s="138" t="s">
        <v>26</v>
      </c>
      <c r="D491" s="134" t="s">
        <v>40</v>
      </c>
      <c r="E491" s="137" t="s">
        <v>390</v>
      </c>
      <c r="F491" s="137" t="s">
        <v>388</v>
      </c>
      <c r="G491" s="136" t="str">
        <f>VLOOKUP(A491,Plano_V3!$A$26:$G$586,7,0)</f>
        <v>6. Em implementação (re-especificação)</v>
      </c>
      <c r="H491" s="136" t="s">
        <v>1948</v>
      </c>
      <c r="I491" s="143" t="s">
        <v>1951</v>
      </c>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2" hidden="1" customHeight="1">
      <c r="A492" s="30" t="str">
        <f t="shared" si="10"/>
        <v>lt826_esg_sbsctrambito</v>
      </c>
      <c r="B492" s="142" t="s">
        <v>26</v>
      </c>
      <c r="C492" s="138" t="s">
        <v>26</v>
      </c>
      <c r="D492" s="134" t="s">
        <v>40</v>
      </c>
      <c r="E492" s="137" t="s">
        <v>393</v>
      </c>
      <c r="F492" s="137" t="s">
        <v>391</v>
      </c>
      <c r="G492" s="136" t="str">
        <f>VLOOKUP(A492,Plano_V3!$A$26:$G$586,7,0)</f>
        <v>1. Concluído</v>
      </c>
      <c r="H492" s="136" t="s">
        <v>614</v>
      </c>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2" hidden="1" customHeight="1">
      <c r="A493" s="30" t="str">
        <f t="shared" si="10"/>
        <v>lt826_esg_sbsctrref_date</v>
      </c>
      <c r="B493" s="142" t="s">
        <v>26</v>
      </c>
      <c r="C493" s="138" t="s">
        <v>26</v>
      </c>
      <c r="D493" s="134" t="s">
        <v>40</v>
      </c>
      <c r="E493" s="137" t="s">
        <v>393</v>
      </c>
      <c r="F493" s="137" t="s">
        <v>208</v>
      </c>
      <c r="G493" s="136" t="str">
        <f>VLOOKUP(A493,Plano_V3!$A$26:$G$586,7,0)</f>
        <v>1. Concluído</v>
      </c>
      <c r="H493" s="136" t="s">
        <v>614</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hidden="1" customHeight="1">
      <c r="A494" s="30" t="str">
        <f t="shared" si="10"/>
        <v>lt826_esg_sbsctrordem</v>
      </c>
      <c r="B494" s="142" t="s">
        <v>26</v>
      </c>
      <c r="C494" s="138" t="s">
        <v>26</v>
      </c>
      <c r="D494" s="134" t="s">
        <v>40</v>
      </c>
      <c r="E494" s="137" t="s">
        <v>393</v>
      </c>
      <c r="F494" s="137" t="s">
        <v>211</v>
      </c>
      <c r="G494" s="136" t="str">
        <f>VLOOKUP(A494,Plano_V3!$A$26:$G$586,7,0)</f>
        <v>1. Concluído</v>
      </c>
      <c r="H494" s="136" t="s">
        <v>614</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hidden="1" customHeight="1">
      <c r="A495" s="30" t="str">
        <f t="shared" si="10"/>
        <v>lt826_esg_sbsctrnace_code</v>
      </c>
      <c r="B495" s="142" t="s">
        <v>26</v>
      </c>
      <c r="C495" s="138" t="s">
        <v>26</v>
      </c>
      <c r="D495" s="134" t="s">
        <v>40</v>
      </c>
      <c r="E495" s="137" t="s">
        <v>393</v>
      </c>
      <c r="F495" s="137" t="s">
        <v>394</v>
      </c>
      <c r="G495" s="136" t="str">
        <f>VLOOKUP(A495,Plano_V3!$A$26:$G$586,7,0)</f>
        <v>1. Concluído</v>
      </c>
      <c r="H495" s="136" t="s">
        <v>614</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hidden="1" customHeight="1">
      <c r="A496" s="30" t="str">
        <f t="shared" si="10"/>
        <v>lt826_esg_sbsctrcontraparte</v>
      </c>
      <c r="B496" s="142" t="s">
        <v>26</v>
      </c>
      <c r="C496" s="138" t="s">
        <v>26</v>
      </c>
      <c r="D496" s="134" t="s">
        <v>40</v>
      </c>
      <c r="E496" s="137" t="s">
        <v>393</v>
      </c>
      <c r="F496" s="137" t="s">
        <v>395</v>
      </c>
      <c r="G496" s="136" t="str">
        <f>VLOOKUP(A496,Plano_V3!$A$26:$G$586,7,0)</f>
        <v>1. Concluído</v>
      </c>
      <c r="H496" s="136" t="s">
        <v>614</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hidden="1" customHeight="1">
      <c r="A497" s="30" t="str">
        <f t="shared" si="10"/>
        <v>lt826_esg_sbsctrcnatureza_juri</v>
      </c>
      <c r="B497" s="142" t="s">
        <v>26</v>
      </c>
      <c r="C497" s="138" t="s">
        <v>26</v>
      </c>
      <c r="D497" s="134" t="s">
        <v>40</v>
      </c>
      <c r="E497" s="137" t="s">
        <v>393</v>
      </c>
      <c r="F497" s="137" t="s">
        <v>396</v>
      </c>
      <c r="G497" s="136" t="str">
        <f>VLOOKUP(A497,Plano_V3!$A$26:$G$586,7,0)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hidden="1" customHeight="1">
      <c r="A498" s="30" t="str">
        <f t="shared" si="10"/>
        <v>lt826_esg_sbsctridcomb</v>
      </c>
      <c r="B498" s="142" t="s">
        <v>26</v>
      </c>
      <c r="C498" s="138" t="s">
        <v>26</v>
      </c>
      <c r="D498" s="134" t="s">
        <v>40</v>
      </c>
      <c r="E498" s="137" t="s">
        <v>393</v>
      </c>
      <c r="F498" s="137" t="s">
        <v>397</v>
      </c>
      <c r="G498" s="136" t="str">
        <f>VLOOKUP(A498,Plano_V3!$A$26:$G$586,7,0)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lt826_esg_sbsctresg_sbsctr</v>
      </c>
      <c r="B499" s="142" t="s">
        <v>26</v>
      </c>
      <c r="C499" s="138" t="s">
        <v>26</v>
      </c>
      <c r="D499" s="134" t="s">
        <v>40</v>
      </c>
      <c r="E499" s="137" t="s">
        <v>393</v>
      </c>
      <c r="F499" s="137" t="s">
        <v>361</v>
      </c>
      <c r="G499" s="136" t="str">
        <f>VLOOKUP(A499,Plano_V3!$A$26:$G$586,7,0)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lt826_esg_sbsctrdescrição</v>
      </c>
      <c r="B500" s="142" t="s">
        <v>26</v>
      </c>
      <c r="C500" s="138" t="s">
        <v>26</v>
      </c>
      <c r="D500" s="134" t="s">
        <v>40</v>
      </c>
      <c r="E500" s="137" t="s">
        <v>393</v>
      </c>
      <c r="F500" s="137" t="s">
        <v>398</v>
      </c>
      <c r="G500" s="136" t="str">
        <f>VLOOKUP(A500,Plano_V3!$A$26:$G$586,7,0)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lt002_instrumentdt_rfrnc</v>
      </c>
      <c r="B501" s="142" t="s">
        <v>26</v>
      </c>
      <c r="C501" s="138" t="s">
        <v>26</v>
      </c>
      <c r="D501" s="134" t="s">
        <v>40</v>
      </c>
      <c r="E501" s="137" t="s">
        <v>380</v>
      </c>
      <c r="F501" s="137" t="s">
        <v>399</v>
      </c>
      <c r="G501" s="136" t="str">
        <f>VLOOKUP(A501,Plano_V3!$A$26:$G$586,7,0)</f>
        <v>1. Concluído</v>
      </c>
      <c r="H501" s="136" t="s">
        <v>614</v>
      </c>
      <c r="I501" s="143" t="s">
        <v>664</v>
      </c>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lt002_instrumentinstrmnt_id</v>
      </c>
      <c r="B502" s="142" t="s">
        <v>26</v>
      </c>
      <c r="C502" s="138" t="s">
        <v>26</v>
      </c>
      <c r="D502" s="134" t="s">
        <v>40</v>
      </c>
      <c r="E502" s="137" t="s">
        <v>380</v>
      </c>
      <c r="F502" s="137" t="s">
        <v>401</v>
      </c>
      <c r="G502" s="136" t="str">
        <f>VLOOKUP(A502,Plano_V3!$A$26:$G$586,7,0)</f>
        <v>1. Concluído</v>
      </c>
      <c r="H502" s="136" t="s">
        <v>614</v>
      </c>
      <c r="I502" s="143" t="s">
        <v>664</v>
      </c>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lt002_instrumentdt_incptn</v>
      </c>
      <c r="B503" s="142" t="s">
        <v>26</v>
      </c>
      <c r="C503" s="138" t="s">
        <v>26</v>
      </c>
      <c r="D503" s="134" t="s">
        <v>40</v>
      </c>
      <c r="E503" s="137" t="s">
        <v>380</v>
      </c>
      <c r="F503" s="137" t="s">
        <v>402</v>
      </c>
      <c r="G503" s="136" t="str">
        <f>VLOOKUP(A503,Plano_V3!$A$26:$G$586,7,0)</f>
        <v>1. Concluído</v>
      </c>
      <c r="H503" s="136" t="s">
        <v>614</v>
      </c>
      <c r="I503" s="143" t="s">
        <v>664</v>
      </c>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lt002_instrumentdflt_stts_instrmnt</v>
      </c>
      <c r="B504" s="142" t="s">
        <v>26</v>
      </c>
      <c r="C504" s="138" t="s">
        <v>26</v>
      </c>
      <c r="D504" s="134" t="s">
        <v>40</v>
      </c>
      <c r="E504" s="137" t="s">
        <v>380</v>
      </c>
      <c r="F504" s="137" t="s">
        <v>403</v>
      </c>
      <c r="G504" s="136" t="str">
        <f>VLOOKUP(A504,Plano_V3!$A$26:$G$586,7,0)</f>
        <v>1. Concluído</v>
      </c>
      <c r="H504" s="136" t="s">
        <v>614</v>
      </c>
      <c r="I504" s="143" t="s">
        <v>664</v>
      </c>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lt002_instrumentimprmnt_stts</v>
      </c>
      <c r="B505" s="142" t="s">
        <v>26</v>
      </c>
      <c r="C505" s="138" t="s">
        <v>26</v>
      </c>
      <c r="D505" s="134" t="s">
        <v>40</v>
      </c>
      <c r="E505" s="137" t="s">
        <v>380</v>
      </c>
      <c r="F505" s="137" t="s">
        <v>404</v>
      </c>
      <c r="G505" s="136" t="str">
        <f>VLOOKUP(A505,Plano_V3!$A$26:$G$586,7,0)</f>
        <v>1. Concluído</v>
      </c>
      <c r="H505" s="136" t="s">
        <v>614</v>
      </c>
      <c r="I505" s="143" t="s">
        <v>664</v>
      </c>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lt002_instrumentprfrmng_stts</v>
      </c>
      <c r="B506" s="142" t="s">
        <v>26</v>
      </c>
      <c r="C506" s="138" t="s">
        <v>26</v>
      </c>
      <c r="D506" s="134" t="s">
        <v>40</v>
      </c>
      <c r="E506" s="137" t="s">
        <v>380</v>
      </c>
      <c r="F506" s="137" t="s">
        <v>405</v>
      </c>
      <c r="G506" s="136" t="str">
        <f>VLOOKUP(A506,Plano_V3!$A$26:$G$586,7,0)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lt002_instrumentprjct_fnnc_ln</v>
      </c>
      <c r="B507" s="142" t="s">
        <v>26</v>
      </c>
      <c r="C507" s="138" t="s">
        <v>26</v>
      </c>
      <c r="D507" s="134" t="s">
        <v>40</v>
      </c>
      <c r="E507" s="137" t="s">
        <v>380</v>
      </c>
      <c r="F507" s="137" t="s">
        <v>406</v>
      </c>
      <c r="G507" s="136" t="str">
        <f>VLOOKUP(A507,Plano_V3!$A$26:$G$586,7,0)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lt002_instrumenttyp_instrmnt</v>
      </c>
      <c r="B508" s="142" t="s">
        <v>26</v>
      </c>
      <c r="C508" s="138" t="s">
        <v>26</v>
      </c>
      <c r="D508" s="134" t="s">
        <v>40</v>
      </c>
      <c r="E508" s="137" t="s">
        <v>380</v>
      </c>
      <c r="F508" s="137" t="s">
        <v>407</v>
      </c>
      <c r="G508" s="136" t="str">
        <f>VLOOKUP(A508,Plano_V3!$A$26:$G$586,7,0)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lt002_instrumentgrss_crryng_amnt_instrmnt</v>
      </c>
      <c r="B509" s="142" t="s">
        <v>26</v>
      </c>
      <c r="C509" s="138" t="s">
        <v>26</v>
      </c>
      <c r="D509" s="134" t="s">
        <v>40</v>
      </c>
      <c r="E509" s="137" t="s">
        <v>380</v>
      </c>
      <c r="F509" s="137" t="s">
        <v>408</v>
      </c>
      <c r="G509" s="136" t="str">
        <f>VLOOKUP(A509,Plano_V3!$A$26:$G$586,7,0)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lt002_instrumentaccmltd_chngs_fv_cr_instrmnt</v>
      </c>
      <c r="B510" s="142" t="s">
        <v>26</v>
      </c>
      <c r="C510" s="138" t="s">
        <v>26</v>
      </c>
      <c r="D510" s="134" t="s">
        <v>40</v>
      </c>
      <c r="E510" s="137" t="s">
        <v>380</v>
      </c>
      <c r="F510" s="137" t="s">
        <v>409</v>
      </c>
      <c r="G510" s="136" t="str">
        <f>VLOOKUP(A510,Plano_V3!$A$26:$G$586,7,0)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lt002_instrumentaccntng_clssfctn</v>
      </c>
      <c r="B511" s="142" t="s">
        <v>26</v>
      </c>
      <c r="C511" s="138" t="s">
        <v>26</v>
      </c>
      <c r="D511" s="134" t="s">
        <v>40</v>
      </c>
      <c r="E511" s="137" t="s">
        <v>380</v>
      </c>
      <c r="F511" s="137" t="s">
        <v>410</v>
      </c>
      <c r="G511" s="136" t="str">
        <f>VLOOKUP(A511,Plano_V3!$A$26:$G$586,7,0)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lt002_instrumentdt_lgl_fnl_mtrty</v>
      </c>
      <c r="B512" s="142" t="s">
        <v>26</v>
      </c>
      <c r="C512" s="138" t="s">
        <v>26</v>
      </c>
      <c r="D512" s="134" t="s">
        <v>40</v>
      </c>
      <c r="E512" s="137" t="s">
        <v>380</v>
      </c>
      <c r="F512" s="137" t="s">
        <v>411</v>
      </c>
      <c r="G512" s="136" t="str">
        <f>VLOOKUP(A512,Plano_V3!$A$26:$G$586,7,0)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lt002_instrumentaccmltd_imprmnt_instrmnt</v>
      </c>
      <c r="B513" s="142" t="s">
        <v>26</v>
      </c>
      <c r="C513" s="138" t="s">
        <v>26</v>
      </c>
      <c r="D513" s="134" t="s">
        <v>40</v>
      </c>
      <c r="E513" s="137" t="s">
        <v>380</v>
      </c>
      <c r="F513" s="137" t="s">
        <v>412</v>
      </c>
      <c r="G513" s="136" t="str">
        <f>VLOOKUP(A513,Plano_V3!$A$26:$G$586,7,0)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lt002_instrumentissr_cntry</v>
      </c>
      <c r="B514" s="142" t="s">
        <v>26</v>
      </c>
      <c r="C514" s="138" t="s">
        <v>26</v>
      </c>
      <c r="D514" s="134" t="s">
        <v>40</v>
      </c>
      <c r="E514" s="137" t="s">
        <v>380</v>
      </c>
      <c r="F514" s="137" t="s">
        <v>413</v>
      </c>
      <c r="G514" s="136" t="str">
        <f>VLOOKUP(A514,Plano_V3!$A$26:$G$586,7,0)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lt002_instrumentissr_nace_sctr</v>
      </c>
      <c r="B515" s="142" t="s">
        <v>26</v>
      </c>
      <c r="C515" s="138" t="s">
        <v>26</v>
      </c>
      <c r="D515" s="134" t="s">
        <v>40</v>
      </c>
      <c r="E515" s="137" t="s">
        <v>380</v>
      </c>
      <c r="F515" s="137" t="s">
        <v>414</v>
      </c>
      <c r="G515" s="136" t="str">
        <f>VLOOKUP(A515,Plano_V3!$A$26:$G$586,7,0)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lt002_instrumentprmry_asst_clssf</v>
      </c>
      <c r="B516" s="142" t="s">
        <v>26</v>
      </c>
      <c r="C516" s="138" t="s">
        <v>26</v>
      </c>
      <c r="D516" s="134" t="s">
        <v>40</v>
      </c>
      <c r="E516" s="137" t="s">
        <v>380</v>
      </c>
      <c r="F516" s="137" t="s">
        <v>415</v>
      </c>
      <c r="G516" s="136" t="str">
        <f>VLOOKUP(A516,Plano_V3!$A$26:$G$586,7,0)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lt002_instrumentsubportfolio_id</v>
      </c>
      <c r="B517" s="142" t="s">
        <v>26</v>
      </c>
      <c r="C517" s="138" t="s">
        <v>26</v>
      </c>
      <c r="D517" s="134" t="s">
        <v>40</v>
      </c>
      <c r="E517" s="137" t="s">
        <v>380</v>
      </c>
      <c r="F517" s="137" t="s">
        <v>416</v>
      </c>
      <c r="G517" s="136" t="str">
        <f>VLOOKUP(A517,Plano_V3!$A$26:$G$586,7,0)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lt002_instrumentcod_soc</v>
      </c>
      <c r="B518" s="142" t="s">
        <v>26</v>
      </c>
      <c r="C518" s="138" t="s">
        <v>26</v>
      </c>
      <c r="D518" s="134" t="s">
        <v>40</v>
      </c>
      <c r="E518" s="137" t="s">
        <v>380</v>
      </c>
      <c r="F518" s="137" t="s">
        <v>417</v>
      </c>
      <c r="G518" s="136" t="str">
        <f>VLOOKUP(A518,Plano_V3!$A$26:$G$586,7,0)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lt002_instrumentlcl_instmrnt_id</v>
      </c>
      <c r="B519" s="142" t="s">
        <v>26</v>
      </c>
      <c r="C519" s="138" t="s">
        <v>26</v>
      </c>
      <c r="D519" s="134" t="s">
        <v>40</v>
      </c>
      <c r="E519" s="137" t="s">
        <v>380</v>
      </c>
      <c r="F519" s="137" t="s">
        <v>418</v>
      </c>
      <c r="G519" s="136" t="str">
        <f>VLOOKUP(A519,Plano_V3!$A$26:$G$586,7,0)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lt002_instrumentsstnbl_indctr</v>
      </c>
      <c r="B520" s="142" t="s">
        <v>26</v>
      </c>
      <c r="C520" s="138" t="s">
        <v>26</v>
      </c>
      <c r="D520" s="134" t="s">
        <v>40</v>
      </c>
      <c r="E520" s="137" t="s">
        <v>380</v>
      </c>
      <c r="F520" s="137" t="s">
        <v>419</v>
      </c>
      <c r="G520" s="136" t="str">
        <f>VLOOKUP(A520,Plano_V3!$A$26:$G$586,7,0)</f>
        <v>6. Em implementação (re-especificação)</v>
      </c>
      <c r="H520" s="136" t="s">
        <v>616</v>
      </c>
      <c r="I520" s="143" t="s">
        <v>1958</v>
      </c>
      <c r="J520" s="153" t="str">
        <f>IF(VLOOKUP(A520,'Aux - pivots1'!$A:$E,3,0)=0, "",VLOOKUP(A520,'Aux - pivots1'!$A:$E,3,0))</f>
        <v/>
      </c>
      <c r="K520" s="153" t="str">
        <f>IF(VLOOKUP(A520,'Aux - pivots1'!$A:$E,4,0)=0, "",VLOOKUP(A520,'Aux - pivots1'!$A:$E,4,0))</f>
        <v/>
      </c>
      <c r="L520" s="153" t="str">
        <f>IF(VLOOKUP(A520,'Aux - pivots1'!$A:$E,5,0)=0, "",VLOOKUP(A520,'Aux - pivots1'!$A:$E,5,0))</f>
        <v/>
      </c>
      <c r="M520" s="209">
        <v>45593</v>
      </c>
      <c r="N520" s="209"/>
    </row>
    <row r="521" spans="1:14" ht="16.2" customHeight="1">
      <c r="A521" s="30" t="str">
        <f t="shared" si="10"/>
        <v>lt002_instrumentsstnbl_ctgry</v>
      </c>
      <c r="B521" s="142" t="s">
        <v>26</v>
      </c>
      <c r="C521" s="138" t="s">
        <v>26</v>
      </c>
      <c r="D521" s="134" t="s">
        <v>40</v>
      </c>
      <c r="E521" s="137" t="s">
        <v>380</v>
      </c>
      <c r="F521" s="137" t="s">
        <v>420</v>
      </c>
      <c r="G521" s="136" t="str">
        <f>VLOOKUP(A521,Plano_V3!$A$26:$G$586,7,0)</f>
        <v>6. Em implementação (re-especificação)</v>
      </c>
      <c r="H521" s="136" t="s">
        <v>616</v>
      </c>
      <c r="I521" s="143" t="s">
        <v>1958</v>
      </c>
      <c r="J521" s="153">
        <f>IF(VLOOKUP(A521,'Aux - pivots1'!$A:$E,3,0)=0, "",VLOOKUP(A521,'Aux - pivots1'!$A:$E,3,0))</f>
        <v>45593</v>
      </c>
      <c r="K521" s="153" t="str">
        <f>IF(VLOOKUP(A521,'Aux - pivots1'!$A:$E,4,0)=0, "",VLOOKUP(A521,'Aux - pivots1'!$A:$E,4,0))</f>
        <v/>
      </c>
      <c r="L521" s="153" t="str">
        <f>IF(VLOOKUP(A521,'Aux - pivots1'!$A:$E,5,0)=0, "",VLOOKUP(A521,'Aux - pivots1'!$A:$E,5,0))</f>
        <v/>
      </c>
      <c r="M521" s="209">
        <v>45593</v>
      </c>
      <c r="N521" s="209"/>
    </row>
    <row r="522" spans="1:14" ht="16.2" hidden="1" customHeight="1">
      <c r="A522" s="30" t="str">
        <f t="shared" si="10"/>
        <v>lt002_instrumentgrss_intrst_incm</v>
      </c>
      <c r="B522" s="142" t="s">
        <v>26</v>
      </c>
      <c r="C522" s="138" t="s">
        <v>26</v>
      </c>
      <c r="D522" s="134" t="s">
        <v>40</v>
      </c>
      <c r="E522" s="137" t="s">
        <v>380</v>
      </c>
      <c r="F522" s="137" t="s">
        <v>421</v>
      </c>
      <c r="G522" s="136" t="str">
        <f>VLOOKUP(A522,Plano_V3!$A$26:$G$586,7,0)</f>
        <v>2.2 Em Re-especificação</v>
      </c>
      <c r="H522" s="136" t="s">
        <v>1948</v>
      </c>
      <c r="I522" s="143" t="s">
        <v>664</v>
      </c>
      <c r="J522" s="153">
        <f>IF(VLOOKUP(A522,'Aux - pivots1'!$A:$E,3,0)=0, "",VLOOKUP(A522,'Aux - pivots1'!$A:$E,3,0))</f>
        <v>45593</v>
      </c>
      <c r="K522" s="153" t="str">
        <f>IF(VLOOKUP(A522,'Aux - pivots1'!$A:$E,4,0)=0, "",VLOOKUP(A522,'Aux - pivots1'!$A:$E,4,0))</f>
        <v/>
      </c>
      <c r="L522" s="153" t="str">
        <f>IF(VLOOKUP(A522,'Aux - pivots1'!$A:$E,5,0)=0, "",VLOOKUP(A522,'Aux - pivots1'!$A:$E,5,0))</f>
        <v/>
      </c>
      <c r="M522" s="209">
        <v>45595</v>
      </c>
      <c r="N522" s="209"/>
    </row>
    <row r="523" spans="1:14" ht="16.2" hidden="1" customHeight="1">
      <c r="A523" s="30" t="str">
        <f t="shared" si="10"/>
        <v>lt002_instrumentgrss_cmmssn_incm</v>
      </c>
      <c r="B523" s="142" t="s">
        <v>26</v>
      </c>
      <c r="C523" s="138" t="s">
        <v>26</v>
      </c>
      <c r="D523" s="134" t="s">
        <v>40</v>
      </c>
      <c r="E523" s="137" t="s">
        <v>380</v>
      </c>
      <c r="F523" s="137" t="s">
        <v>422</v>
      </c>
      <c r="G523" s="136" t="str">
        <f>VLOOKUP(A523,Plano_V3!$A$26:$G$586,7,0)</f>
        <v>2.2 Em Re-especificação</v>
      </c>
      <c r="H523" s="136" t="s">
        <v>1948</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v>45595</v>
      </c>
      <c r="N523" s="209"/>
    </row>
    <row r="524" spans="1:14" ht="16.2" hidden="1" customHeight="1">
      <c r="A524" s="30" t="str">
        <f t="shared" si="10"/>
        <v>lt002_instrumentgrss_cmmssn_incm_off_blnc</v>
      </c>
      <c r="B524" s="142" t="s">
        <v>26</v>
      </c>
      <c r="C524" s="138" t="s">
        <v>26</v>
      </c>
      <c r="D524" s="134" t="s">
        <v>40</v>
      </c>
      <c r="E524" s="137" t="s">
        <v>380</v>
      </c>
      <c r="F524" s="137" t="s">
        <v>423</v>
      </c>
      <c r="G524" s="136" t="str">
        <f>VLOOKUP(A524,Plano_V3!$A$26:$G$586,7,0)</f>
        <v>2.2 Em Re-especificação</v>
      </c>
      <c r="H524" s="136" t="s">
        <v>1948</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v>45595</v>
      </c>
      <c r="N524" s="209"/>
    </row>
    <row r="525" spans="1:14" ht="16.2" hidden="1" customHeight="1">
      <c r="A525" s="30" t="str">
        <f t="shared" si="10"/>
        <v>lt002_instrumentidcmb</v>
      </c>
      <c r="B525" s="142" t="s">
        <v>26</v>
      </c>
      <c r="C525" s="138" t="s">
        <v>26</v>
      </c>
      <c r="D525" s="134" t="s">
        <v>40</v>
      </c>
      <c r="E525" s="137" t="s">
        <v>380</v>
      </c>
      <c r="F525" s="137" t="s">
        <v>424</v>
      </c>
      <c r="G525" s="136" t="str">
        <f>VLOOKUP(A525,Plano_V3!$A$26:$G$586,7,0)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lt003_entitycntry</v>
      </c>
      <c r="B526" s="142" t="s">
        <v>26</v>
      </c>
      <c r="C526" s="138" t="s">
        <v>26</v>
      </c>
      <c r="D526" s="134" t="s">
        <v>40</v>
      </c>
      <c r="E526" s="137" t="s">
        <v>336</v>
      </c>
      <c r="F526" s="137" t="s">
        <v>425</v>
      </c>
      <c r="G526" s="136" t="str">
        <f>VLOOKUP(A526,Plano_V3!$A$26:$G$586,7,0)</f>
        <v>1. Concluído</v>
      </c>
      <c r="H526" s="136" t="s">
        <v>614</v>
      </c>
      <c r="I526" s="143" t="s">
        <v>664</v>
      </c>
      <c r="J526" s="153" t="str">
        <f>IF(VLOOKUP(A526,'Aux - pivots1'!$A:$E,3,0)=0, "",VLOOKUP(A526,'Aux - pivots1'!$A:$E,3,0))</f>
        <v/>
      </c>
      <c r="K526" s="153" t="str">
        <f>IF(VLOOKUP(A526,'Aux - pivots1'!$A:$E,4,0)=0, "",VLOOKUP(A526,'Aux - pivots1'!$A:$E,4,0))</f>
        <v/>
      </c>
      <c r="L526" s="153" t="str">
        <f>IF(VLOOKUP(A526,'Aux - pivots1'!$A:$E,5,0)=0, "",VLOOKUP(A526,'Aux - pivots1'!$A:$E,5,0))</f>
        <v/>
      </c>
      <c r="M526" s="209"/>
      <c r="N526" s="209"/>
    </row>
    <row r="527" spans="1:14" ht="16.2" hidden="1" customHeight="1">
      <c r="A527" s="30" t="str">
        <f t="shared" si="10"/>
        <v>lt003_entitydt_rfrnc</v>
      </c>
      <c r="B527" s="142" t="s">
        <v>26</v>
      </c>
      <c r="C527" s="138" t="s">
        <v>26</v>
      </c>
      <c r="D527" s="134" t="s">
        <v>40</v>
      </c>
      <c r="E527" s="137" t="s">
        <v>336</v>
      </c>
      <c r="F527" s="137" t="s">
        <v>399</v>
      </c>
      <c r="G527" s="136" t="str">
        <f>VLOOKUP(A527,Plano_V3!$A$26:$G$586,7,0)</f>
        <v>1. Concluído</v>
      </c>
      <c r="H527" s="136" t="s">
        <v>614</v>
      </c>
      <c r="I527" s="143" t="s">
        <v>664</v>
      </c>
      <c r="J527" s="153" t="str">
        <f>IF(VLOOKUP(A527,'Aux - pivots1'!$A:$E,3,0)=0, "",VLOOKUP(A527,'Aux - pivots1'!$A:$E,3,0))</f>
        <v/>
      </c>
      <c r="K527" s="153" t="str">
        <f>IF(VLOOKUP(A527,'Aux - pivots1'!$A:$E,4,0)=0, "",VLOOKUP(A527,'Aux - pivots1'!$A:$E,4,0))</f>
        <v/>
      </c>
      <c r="L527" s="153" t="str">
        <f>IF(VLOOKUP(A527,'Aux - pivots1'!$A:$E,5,0)=0, "",VLOOKUP(A527,'Aux - pivots1'!$A:$E,5,0))</f>
        <v/>
      </c>
      <c r="M527" s="209"/>
      <c r="N527" s="209"/>
    </row>
    <row r="528" spans="1:14" ht="16.2" hidden="1" customHeight="1">
      <c r="A528" s="30" t="str">
        <f t="shared" si="10"/>
        <v>lt003_entityentty_id</v>
      </c>
      <c r="B528" s="142" t="s">
        <v>26</v>
      </c>
      <c r="C528" s="138" t="s">
        <v>26</v>
      </c>
      <c r="D528" s="134" t="s">
        <v>40</v>
      </c>
      <c r="E528" s="137" t="s">
        <v>336</v>
      </c>
      <c r="F528" s="137" t="s">
        <v>426</v>
      </c>
      <c r="G528" s="136" t="str">
        <f>VLOOKUP(A528,Plano_V3!$A$26:$G$586,7,0)</f>
        <v>1. Concluído</v>
      </c>
      <c r="H528" s="136" t="s">
        <v>614</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c r="N528" s="209"/>
    </row>
    <row r="529" spans="1:14" ht="16.2" hidden="1" customHeight="1">
      <c r="A529" s="30" t="str">
        <f t="shared" si="10"/>
        <v>lt003_entitylei</v>
      </c>
      <c r="B529" s="142" t="s">
        <v>26</v>
      </c>
      <c r="C529" s="138" t="s">
        <v>26</v>
      </c>
      <c r="D529" s="134" t="s">
        <v>40</v>
      </c>
      <c r="E529" s="137" t="s">
        <v>336</v>
      </c>
      <c r="F529" s="137" t="s">
        <v>427</v>
      </c>
      <c r="G529" s="136" t="str">
        <f>VLOOKUP(A529,Plano_V3!$A$26:$G$586,7,0)</f>
        <v>1. Concluído</v>
      </c>
      <c r="H529" s="136" t="s">
        <v>614</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c r="N529" s="209"/>
    </row>
    <row r="530" spans="1:14" ht="16.2" hidden="1" customHeight="1">
      <c r="A530" s="30" t="str">
        <f t="shared" ref="A530:A558" si="11">E530&amp;F530</f>
        <v>lt003_entityecnmc_actvty</v>
      </c>
      <c r="B530" s="142" t="s">
        <v>26</v>
      </c>
      <c r="C530" s="138" t="s">
        <v>26</v>
      </c>
      <c r="D530" s="134" t="s">
        <v>40</v>
      </c>
      <c r="E530" s="137" t="s">
        <v>336</v>
      </c>
      <c r="F530" s="137" t="s">
        <v>428</v>
      </c>
      <c r="G530" s="136" t="str">
        <f>VLOOKUP(A530,Plano_V3!$A$26:$G$586,7,0)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2" hidden="1" customHeight="1">
      <c r="A531" s="30" t="str">
        <f t="shared" si="11"/>
        <v>lt003_entitygrp_eqty</v>
      </c>
      <c r="B531" s="142" t="s">
        <v>26</v>
      </c>
      <c r="C531" s="138" t="s">
        <v>26</v>
      </c>
      <c r="D531" s="134" t="s">
        <v>40</v>
      </c>
      <c r="E531" s="137" t="s">
        <v>336</v>
      </c>
      <c r="F531" s="137" t="s">
        <v>429</v>
      </c>
      <c r="G531" s="136" t="str">
        <f>VLOOKUP(A531,Plano_V3!$A$26:$G$586,7,0)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1"/>
        <v>lt003_entityannl_trnvr_le</v>
      </c>
      <c r="B532" s="142" t="s">
        <v>26</v>
      </c>
      <c r="C532" s="138" t="s">
        <v>26</v>
      </c>
      <c r="D532" s="134" t="s">
        <v>40</v>
      </c>
      <c r="E532" s="137" t="s">
        <v>336</v>
      </c>
      <c r="F532" s="137" t="s">
        <v>430</v>
      </c>
      <c r="G532" s="136" t="str">
        <f>VLOOKUP(A532,Plano_V3!$A$26:$G$586,7,0)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1"/>
        <v>lt003_entityeqty</v>
      </c>
      <c r="B533" s="142" t="s">
        <v>26</v>
      </c>
      <c r="C533" s="138" t="s">
        <v>26</v>
      </c>
      <c r="D533" s="134" t="s">
        <v>40</v>
      </c>
      <c r="E533" s="137" t="s">
        <v>336</v>
      </c>
      <c r="F533" s="137" t="s">
        <v>431</v>
      </c>
      <c r="G533" s="136" t="str">
        <f>VLOOKUP(A533,Plano_V3!$A$26:$G$586,7,0)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1"/>
        <v>lt003_entitygrp_ttl_dbt</v>
      </c>
      <c r="B534" s="142" t="s">
        <v>26</v>
      </c>
      <c r="C534" s="138" t="s">
        <v>26</v>
      </c>
      <c r="D534" s="134" t="s">
        <v>40</v>
      </c>
      <c r="E534" s="137" t="s">
        <v>336</v>
      </c>
      <c r="F534" s="137" t="s">
        <v>432</v>
      </c>
      <c r="G534" s="136" t="str">
        <f>VLOOKUP(A534,Plano_V3!$A$26:$G$586,7,0)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1"/>
        <v>lt003_entityttl_dbt</v>
      </c>
      <c r="B535" s="142" t="s">
        <v>26</v>
      </c>
      <c r="C535" s="138" t="s">
        <v>26</v>
      </c>
      <c r="D535" s="134" t="s">
        <v>40</v>
      </c>
      <c r="E535" s="137" t="s">
        <v>336</v>
      </c>
      <c r="F535" s="137" t="s">
        <v>433</v>
      </c>
      <c r="G535" s="136" t="str">
        <f>VLOOKUP(A535,Plano_V3!$A$26:$G$586,7,0)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si="11"/>
        <v>lt003_entitycod_soc</v>
      </c>
      <c r="B536" s="142" t="s">
        <v>26</v>
      </c>
      <c r="C536" s="138" t="s">
        <v>26</v>
      </c>
      <c r="D536" s="134" t="s">
        <v>40</v>
      </c>
      <c r="E536" s="137" t="s">
        <v>336</v>
      </c>
      <c r="F536" s="137" t="s">
        <v>417</v>
      </c>
      <c r="G536" s="136" t="str">
        <f>VLOOKUP(A536,Plano_V3!$A$26:$G$586,7,0)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lt004_protectiondt_rfrnc</v>
      </c>
      <c r="B537" s="142" t="s">
        <v>26</v>
      </c>
      <c r="C537" s="138" t="s">
        <v>26</v>
      </c>
      <c r="D537" s="134" t="s">
        <v>40</v>
      </c>
      <c r="E537" s="137" t="s">
        <v>369</v>
      </c>
      <c r="F537" s="137" t="s">
        <v>399</v>
      </c>
      <c r="G537" s="136" t="str">
        <f>VLOOKUP(A537,Plano_V3!$A$26:$G$586,7,0)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lt004_protectionprtctn_id</v>
      </c>
      <c r="B538" s="142" t="s">
        <v>26</v>
      </c>
      <c r="C538" s="138" t="s">
        <v>26</v>
      </c>
      <c r="D538" s="134" t="s">
        <v>40</v>
      </c>
      <c r="E538" s="137" t="s">
        <v>369</v>
      </c>
      <c r="F538" s="137" t="s">
        <v>434</v>
      </c>
      <c r="G538" s="136" t="str">
        <f>VLOOKUP(A538,Plano_V3!$A$26:$G$586,7,0)</f>
        <v>6. Em implementação (re-especificação)</v>
      </c>
      <c r="H538" s="136" t="s">
        <v>619</v>
      </c>
      <c r="I538" s="143" t="s">
        <v>664</v>
      </c>
      <c r="J538" s="153">
        <f>IF(VLOOKUP(A538,'Aux - pivots1'!$A:$E,3,0)=0, "",VLOOKUP(A538,'Aux - pivots1'!$A:$E,3,0))</f>
        <v>45589</v>
      </c>
      <c r="K538" s="153" t="str">
        <f>IF(VLOOKUP(A538,'Aux - pivots1'!$A:$E,4,0)=0, "",VLOOKUP(A538,'Aux - pivots1'!$A:$E,4,0))</f>
        <v/>
      </c>
      <c r="L538" s="153" t="str">
        <f>IF(VLOOKUP(A538,'Aux - pivots1'!$A:$E,5,0)=0, "",VLOOKUP(A538,'Aux - pivots1'!$A:$E,5,0))</f>
        <v/>
      </c>
      <c r="M538" s="209">
        <v>45588</v>
      </c>
      <c r="N538" s="209"/>
    </row>
    <row r="539" spans="1:14" ht="16.2" hidden="1" customHeight="1">
      <c r="A539" s="30" t="str">
        <f t="shared" si="11"/>
        <v>lt004_protectionrl_estt_clltrl_lctn</v>
      </c>
      <c r="B539" s="142" t="s">
        <v>26</v>
      </c>
      <c r="C539" s="138" t="s">
        <v>26</v>
      </c>
      <c r="D539" s="134" t="s">
        <v>40</v>
      </c>
      <c r="E539" s="137" t="s">
        <v>369</v>
      </c>
      <c r="F539" s="137" t="s">
        <v>435</v>
      </c>
      <c r="G539" s="136" t="str">
        <f>VLOOKUP(A539,Plano_V3!$A$26:$G$586,7,0)</f>
        <v>6. Em implementação (re-especificação)</v>
      </c>
      <c r="H539" s="136" t="s">
        <v>619</v>
      </c>
      <c r="I539" s="143" t="s">
        <v>664</v>
      </c>
      <c r="J539" s="153">
        <f>IF(VLOOKUP(A539,'Aux - pivots1'!$A:$E,3,0)=0, "",VLOOKUP(A539,'Aux - pivots1'!$A:$E,3,0))</f>
        <v>45589</v>
      </c>
      <c r="K539" s="153" t="str">
        <f>IF(VLOOKUP(A539,'Aux - pivots1'!$A:$E,4,0)=0, "",VLOOKUP(A539,'Aux - pivots1'!$A:$E,4,0))</f>
        <v/>
      </c>
      <c r="L539" s="153" t="str">
        <f>IF(VLOOKUP(A539,'Aux - pivots1'!$A:$E,5,0)=0, "",VLOOKUP(A539,'Aux - pivots1'!$A:$E,5,0))</f>
        <v/>
      </c>
      <c r="M539" s="209">
        <v>45588</v>
      </c>
      <c r="N539" s="209"/>
    </row>
    <row r="540" spans="1:14" ht="16.2" hidden="1" customHeight="1">
      <c r="A540" s="30" t="str">
        <f t="shared" si="11"/>
        <v>lt004_protectionrl_estt_pst_cd</v>
      </c>
      <c r="B540" s="142" t="s">
        <v>26</v>
      </c>
      <c r="C540" s="138" t="s">
        <v>26</v>
      </c>
      <c r="D540" s="134" t="s">
        <v>40</v>
      </c>
      <c r="E540" s="137" t="s">
        <v>369</v>
      </c>
      <c r="F540" s="137" t="s">
        <v>436</v>
      </c>
      <c r="G540" s="136" t="str">
        <f>VLOOKUP(A540,Plano_V3!$A$26:$G$586,7,0)</f>
        <v>6. Em implementação (re-especificação)</v>
      </c>
      <c r="H540" s="136" t="s">
        <v>619</v>
      </c>
      <c r="I540" s="143" t="s">
        <v>664</v>
      </c>
      <c r="J540" s="153">
        <f>IF(VLOOKUP(A540,'Aux - pivots1'!$A:$E,3,0)=0, "",VLOOKUP(A540,'Aux - pivots1'!$A:$E,3,0))</f>
        <v>45589</v>
      </c>
      <c r="K540" s="153" t="str">
        <f>IF(VLOOKUP(A540,'Aux - pivots1'!$A:$E,4,0)=0, "",VLOOKUP(A540,'Aux - pivots1'!$A:$E,4,0))</f>
        <v/>
      </c>
      <c r="L540" s="153" t="str">
        <f>IF(VLOOKUP(A540,'Aux - pivots1'!$A:$E,5,0)=0, "",VLOOKUP(A540,'Aux - pivots1'!$A:$E,5,0))</f>
        <v/>
      </c>
      <c r="M540" s="209">
        <v>45588</v>
      </c>
      <c r="N540" s="209"/>
    </row>
    <row r="541" spans="1:14" ht="16.2" hidden="1">
      <c r="A541" s="30" t="str">
        <f t="shared" si="11"/>
        <v>lt004_protectiontyp_prtctn</v>
      </c>
      <c r="B541" s="142" t="s">
        <v>26</v>
      </c>
      <c r="C541" s="138" t="s">
        <v>26</v>
      </c>
      <c r="D541" s="134" t="s">
        <v>40</v>
      </c>
      <c r="E541" s="137" t="s">
        <v>369</v>
      </c>
      <c r="F541" s="137" t="s">
        <v>437</v>
      </c>
      <c r="G541" s="136" t="str">
        <f>VLOOKUP(A541,Plano_V3!$A$26:$G$586,7,0)</f>
        <v>4. Validação EF</v>
      </c>
      <c r="H541" s="136" t="s">
        <v>616</v>
      </c>
      <c r="I541" s="143" t="s">
        <v>1962</v>
      </c>
      <c r="J541" s="153">
        <f>IF(VLOOKUP(A541,'Aux - pivots1'!$A:$E,3,0)=0, "",VLOOKUP(A541,'Aux - pivots1'!$A:$E,3,0))</f>
        <v>45588</v>
      </c>
      <c r="K541" s="153" t="str">
        <f>IF(VLOOKUP(A541,'Aux - pivots1'!$A:$E,4,0)=0, "",VLOOKUP(A541,'Aux - pivots1'!$A:$E,4,0))</f>
        <v/>
      </c>
      <c r="L541" s="153" t="str">
        <f>IF(VLOOKUP(A541,'Aux - pivots1'!$A:$E,5,0)=0, "",VLOOKUP(A541,'Aux - pivots1'!$A:$E,5,0))</f>
        <v/>
      </c>
      <c r="M541" s="209">
        <v>45595</v>
      </c>
      <c r="N541" s="209"/>
    </row>
    <row r="542" spans="1:14" ht="16.2" hidden="1">
      <c r="A542" s="30" t="str">
        <f t="shared" si="11"/>
        <v>lt004_protectionorgnl_prtctn_vl</v>
      </c>
      <c r="B542" s="142" t="s">
        <v>26</v>
      </c>
      <c r="C542" s="138" t="s">
        <v>26</v>
      </c>
      <c r="D542" s="134" t="s">
        <v>40</v>
      </c>
      <c r="E542" s="137" t="s">
        <v>369</v>
      </c>
      <c r="F542" s="137" t="s">
        <v>438</v>
      </c>
      <c r="G542" s="136" t="str">
        <f>VLOOKUP(A542,Plano_V3!$A$26:$G$586,7,0)</f>
        <v>2.2 Em Re-especificação</v>
      </c>
      <c r="H542" s="136" t="s">
        <v>1948</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v>45595</v>
      </c>
      <c r="N542" s="209"/>
    </row>
    <row r="543" spans="1:14" ht="16.2" hidden="1" customHeight="1">
      <c r="A543" s="30" t="str">
        <f t="shared" si="11"/>
        <v>lt004_protectionprtctn_vl</v>
      </c>
      <c r="B543" s="142" t="s">
        <v>26</v>
      </c>
      <c r="C543" s="138" t="s">
        <v>26</v>
      </c>
      <c r="D543" s="134" t="s">
        <v>40</v>
      </c>
      <c r="E543" s="137" t="s">
        <v>369</v>
      </c>
      <c r="F543" s="137" t="s">
        <v>439</v>
      </c>
      <c r="G543" s="136" t="str">
        <f>VLOOKUP(A543,Plano_V3!$A$26:$G$586,7,0)</f>
        <v>6. Em implementação (re-especificação)</v>
      </c>
      <c r="H543" s="136" t="s">
        <v>619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2" hidden="1" customHeight="1">
      <c r="A544" s="30" t="str">
        <f t="shared" si="11"/>
        <v>lt004_protectioncod_soc</v>
      </c>
      <c r="B544" s="142" t="s">
        <v>26</v>
      </c>
      <c r="C544" s="138" t="s">
        <v>26</v>
      </c>
      <c r="D544" s="134" t="s">
        <v>40</v>
      </c>
      <c r="E544" s="137" t="s">
        <v>369</v>
      </c>
      <c r="F544" s="137" t="s">
        <v>417</v>
      </c>
      <c r="G544" s="136" t="str">
        <f>VLOOKUP(A544,Plano_V3!$A$26:$G$586,7,0)</f>
        <v>1. Concluído</v>
      </c>
      <c r="H544" s="136" t="s">
        <v>614</v>
      </c>
      <c r="I544" s="143" t="s">
        <v>664</v>
      </c>
      <c r="J544" s="153" t="str">
        <f>IF(VLOOKUP(A544,'Aux - pivots1'!$A:$E,3,0)=0, "",VLOOKUP(A544,'Aux - pivots1'!$A:$E,3,0))</f>
        <v/>
      </c>
      <c r="K544" s="153" t="str">
        <f>IF(VLOOKUP(A544,'Aux - pivots1'!$A:$E,4,0)=0, "",VLOOKUP(A544,'Aux - pivots1'!$A:$E,4,0))</f>
        <v/>
      </c>
      <c r="L544" s="153" t="str">
        <f>IF(VLOOKUP(A544,'Aux - pivots1'!$A:$E,5,0)=0, "",VLOOKUP(A544,'Aux - pivots1'!$A:$E,5,0))</f>
        <v/>
      </c>
      <c r="M544" s="209"/>
      <c r="N544" s="209"/>
    </row>
    <row r="545" spans="1:14" ht="16.2" hidden="1" customHeight="1">
      <c r="A545" s="30" t="str">
        <f t="shared" si="11"/>
        <v>lt005_instr_entdt_rfrnc</v>
      </c>
      <c r="B545" s="142" t="s">
        <v>26</v>
      </c>
      <c r="C545" s="138" t="s">
        <v>26</v>
      </c>
      <c r="D545" s="134" t="s">
        <v>40</v>
      </c>
      <c r="E545" s="137" t="s">
        <v>440</v>
      </c>
      <c r="F545" s="137" t="s">
        <v>399</v>
      </c>
      <c r="G545" s="136" t="str">
        <f>VLOOKUP(A545,Plano_V3!$A$26:$G$586,7,0)</f>
        <v>1. Concluído</v>
      </c>
      <c r="H545" s="136" t="s">
        <v>614</v>
      </c>
      <c r="I545" s="143" t="s">
        <v>664</v>
      </c>
      <c r="J545" s="153" t="str">
        <f>IF(VLOOKUP(A545,'Aux - pivots1'!$A:$E,3,0)=0, "",VLOOKUP(A545,'Aux - pivots1'!$A:$E,3,0))</f>
        <v/>
      </c>
      <c r="K545" s="153" t="str">
        <f>IF(VLOOKUP(A545,'Aux - pivots1'!$A:$E,4,0)=0, "",VLOOKUP(A545,'Aux - pivots1'!$A:$E,4,0))</f>
        <v/>
      </c>
      <c r="L545" s="153" t="str">
        <f>IF(VLOOKUP(A545,'Aux - pivots1'!$A:$E,5,0)=0, "",VLOOKUP(A545,'Aux - pivots1'!$A:$E,5,0))</f>
        <v/>
      </c>
      <c r="M545" s="209"/>
      <c r="N545" s="209"/>
    </row>
    <row r="546" spans="1:14" ht="16.2" hidden="1" customHeight="1">
      <c r="A546" s="30" t="str">
        <f t="shared" si="11"/>
        <v>lt005_instr_ententty_id</v>
      </c>
      <c r="B546" s="142" t="s">
        <v>26</v>
      </c>
      <c r="C546" s="138" t="s">
        <v>26</v>
      </c>
      <c r="D546" s="134" t="s">
        <v>40</v>
      </c>
      <c r="E546" s="137" t="s">
        <v>440</v>
      </c>
      <c r="F546" s="137" t="s">
        <v>426</v>
      </c>
      <c r="G546" s="136" t="str">
        <f>VLOOKUP(A546,Plano_V3!$A$26:$G$586,7,0)</f>
        <v>1. Concluído</v>
      </c>
      <c r="H546" s="136" t="s">
        <v>614</v>
      </c>
      <c r="I546" s="143" t="s">
        <v>664</v>
      </c>
      <c r="J546" s="153" t="str">
        <f>IF(VLOOKUP(A546,'Aux - pivots1'!$A:$E,3,0)=0, "",VLOOKUP(A546,'Aux - pivots1'!$A:$E,3,0))</f>
        <v/>
      </c>
      <c r="K546" s="153" t="str">
        <f>IF(VLOOKUP(A546,'Aux - pivots1'!$A:$E,4,0)=0, "",VLOOKUP(A546,'Aux - pivots1'!$A:$E,4,0))</f>
        <v/>
      </c>
      <c r="L546" s="153" t="str">
        <f>IF(VLOOKUP(A546,'Aux - pivots1'!$A:$E,5,0)=0, "",VLOOKUP(A546,'Aux - pivots1'!$A:$E,5,0))</f>
        <v/>
      </c>
      <c r="M546" s="209"/>
      <c r="N546" s="209"/>
    </row>
    <row r="547" spans="1:14" ht="16.2" hidden="1" customHeight="1">
      <c r="A547" s="30" t="str">
        <f t="shared" si="11"/>
        <v>lt005_instr_entinstrmnt_id</v>
      </c>
      <c r="B547" s="142" t="s">
        <v>26</v>
      </c>
      <c r="C547" s="138" t="s">
        <v>26</v>
      </c>
      <c r="D547" s="134" t="s">
        <v>40</v>
      </c>
      <c r="E547" s="137" t="s">
        <v>440</v>
      </c>
      <c r="F547" s="137" t="s">
        <v>401</v>
      </c>
      <c r="G547" s="136" t="str">
        <f>VLOOKUP(A547,Plano_V3!$A$26:$G$586,7,0)</f>
        <v>1. Concluído</v>
      </c>
      <c r="H547" s="136" t="s">
        <v>614</v>
      </c>
      <c r="I547" s="143" t="s">
        <v>664</v>
      </c>
      <c r="J547" s="153" t="str">
        <f>IF(VLOOKUP(A547,'Aux - pivots1'!$A:$E,3,0)=0, "",VLOOKUP(A547,'Aux - pivots1'!$A:$E,3,0))</f>
        <v/>
      </c>
      <c r="K547" s="153" t="str">
        <f>IF(VLOOKUP(A547,'Aux - pivots1'!$A:$E,4,0)=0, "",VLOOKUP(A547,'Aux - pivots1'!$A:$E,4,0))</f>
        <v/>
      </c>
      <c r="L547" s="153" t="str">
        <f>IF(VLOOKUP(A547,'Aux - pivots1'!$A:$E,5,0)=0, "",VLOOKUP(A547,'Aux - pivots1'!$A:$E,5,0))</f>
        <v/>
      </c>
      <c r="M547" s="209"/>
      <c r="N547" s="209"/>
    </row>
    <row r="548" spans="1:14" ht="16.2" hidden="1" customHeight="1">
      <c r="A548" s="30" t="str">
        <f t="shared" si="11"/>
        <v>lt005_instr_entcod_soc</v>
      </c>
      <c r="B548" s="142" t="s">
        <v>26</v>
      </c>
      <c r="C548" s="138" t="s">
        <v>26</v>
      </c>
      <c r="D548" s="134" t="s">
        <v>40</v>
      </c>
      <c r="E548" s="137" t="s">
        <v>440</v>
      </c>
      <c r="F548" s="137" t="s">
        <v>417</v>
      </c>
      <c r="G548" s="136" t="str">
        <f>VLOOKUP(A548,Plano_V3!$A$26:$G$586,7,0)</f>
        <v>1. Concluído</v>
      </c>
      <c r="H548" s="136" t="s">
        <v>614</v>
      </c>
      <c r="I548" s="143" t="s">
        <v>664</v>
      </c>
      <c r="J548" s="153" t="str">
        <f>IF(VLOOKUP(A548,'Aux - pivots1'!$A:$E,3,0)=0, "",VLOOKUP(A548,'Aux - pivots1'!$A:$E,3,0))</f>
        <v/>
      </c>
      <c r="K548" s="153" t="str">
        <f>IF(VLOOKUP(A548,'Aux - pivots1'!$A:$E,4,0)=0, "",VLOOKUP(A548,'Aux - pivots1'!$A:$E,4,0))</f>
        <v/>
      </c>
      <c r="L548" s="153" t="str">
        <f>IF(VLOOKUP(A548,'Aux - pivots1'!$A:$E,5,0)=0, "",VLOOKUP(A548,'Aux - pivots1'!$A:$E,5,0))</f>
        <v/>
      </c>
      <c r="M548" s="209"/>
      <c r="N548" s="209"/>
    </row>
    <row r="549" spans="1:14" ht="16.2" hidden="1" customHeight="1">
      <c r="A549" s="30" t="str">
        <f t="shared" si="11"/>
        <v>lt005_instr_entmn_entty_id</v>
      </c>
      <c r="B549" s="142" t="s">
        <v>26</v>
      </c>
      <c r="C549" s="138" t="s">
        <v>26</v>
      </c>
      <c r="D549" s="134" t="s">
        <v>40</v>
      </c>
      <c r="E549" s="137" t="s">
        <v>440</v>
      </c>
      <c r="F549" s="137" t="s">
        <v>441</v>
      </c>
      <c r="G549" s="136" t="str">
        <f>VLOOKUP(A549,Plano_V3!$A$26:$G$586,7,0)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2" hidden="1" customHeight="1">
      <c r="A550" s="30" t="str">
        <f t="shared" si="11"/>
        <v>lt006_instr_protdt_rfrnc</v>
      </c>
      <c r="B550" s="142" t="s">
        <v>26</v>
      </c>
      <c r="C550" s="138" t="s">
        <v>26</v>
      </c>
      <c r="D550" s="134" t="s">
        <v>40</v>
      </c>
      <c r="E550" s="137" t="s">
        <v>442</v>
      </c>
      <c r="F550" s="137" t="s">
        <v>399</v>
      </c>
      <c r="G550" s="136" t="str">
        <f>VLOOKUP(A550,Plano_V3!$A$26:$G$586,7,0)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lt006_instr_protinstrmnt_id</v>
      </c>
      <c r="B551" s="142" t="s">
        <v>26</v>
      </c>
      <c r="C551" s="138" t="s">
        <v>26</v>
      </c>
      <c r="D551" s="134" t="s">
        <v>40</v>
      </c>
      <c r="E551" s="137" t="s">
        <v>442</v>
      </c>
      <c r="F551" s="137" t="s">
        <v>401</v>
      </c>
      <c r="G551" s="136" t="str">
        <f>VLOOKUP(A551,Plano_V3!$A$26:$G$586,7,0)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lt006_instr_protprtctn_id</v>
      </c>
      <c r="B552" s="142" t="s">
        <v>26</v>
      </c>
      <c r="C552" s="138" t="s">
        <v>26</v>
      </c>
      <c r="D552" s="134" t="s">
        <v>40</v>
      </c>
      <c r="E552" s="137" t="s">
        <v>442</v>
      </c>
      <c r="F552" s="137" t="s">
        <v>434</v>
      </c>
      <c r="G552" s="136" t="str">
        <f>VLOOKUP(A552,Plano_V3!$A$26:$G$586,7,0)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lt006_instr_protprtctn_allctd_vl</v>
      </c>
      <c r="B553" s="142" t="s">
        <v>26</v>
      </c>
      <c r="C553" s="138" t="s">
        <v>26</v>
      </c>
      <c r="D553" s="134" t="s">
        <v>40</v>
      </c>
      <c r="E553" s="137" t="s">
        <v>442</v>
      </c>
      <c r="F553" s="137" t="s">
        <v>443</v>
      </c>
      <c r="G553" s="136" t="str">
        <f>VLOOKUP(A553,Plano_V3!$A$26:$G$586,7,0)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lt006_instr_protcod_soc</v>
      </c>
      <c r="B554" s="142" t="s">
        <v>26</v>
      </c>
      <c r="C554" s="138" t="s">
        <v>26</v>
      </c>
      <c r="D554" s="134" t="s">
        <v>40</v>
      </c>
      <c r="E554" s="137" t="s">
        <v>442</v>
      </c>
      <c r="F554" s="137" t="s">
        <v>417</v>
      </c>
      <c r="G554" s="136" t="str">
        <f>VLOOKUP(A554,Plano_V3!$A$26:$G$586,7,0)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lt004_protectionflg_fin</v>
      </c>
      <c r="B555" s="142" t="s">
        <v>26</v>
      </c>
      <c r="C555" s="138" t="s">
        <v>26</v>
      </c>
      <c r="D555" s="134" t="s">
        <v>40</v>
      </c>
      <c r="E555" s="137" t="s">
        <v>369</v>
      </c>
      <c r="F555" s="137" t="s">
        <v>481</v>
      </c>
      <c r="G555" s="136" t="str">
        <f>VLOOKUP(A555,Plano_V3!$A$26:$G$586,7,0)</f>
        <v>6. Em implementação (re-especificação)</v>
      </c>
      <c r="H555" s="136" t="s">
        <v>619</v>
      </c>
      <c r="I555" s="143" t="s">
        <v>1966</v>
      </c>
      <c r="J555" s="153">
        <f>IF(VLOOKUP(A555,'Aux - pivots1'!$A:$E,3,0)=0, "",VLOOKUP(A555,'Aux - pivots1'!$A:$E,3,0))</f>
        <v>45593</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lt004_protectionflg_exec</v>
      </c>
      <c r="B556" s="142" t="s">
        <v>26</v>
      </c>
      <c r="C556" s="138" t="s">
        <v>26</v>
      </c>
      <c r="D556" s="134" t="s">
        <v>40</v>
      </c>
      <c r="E556" s="137" t="s">
        <v>369</v>
      </c>
      <c r="F556" s="137" t="s">
        <v>1379</v>
      </c>
      <c r="G556" s="136" t="str">
        <f>VLOOKUP(A556,Plano_V3!$A$26:$G$586,7,0)</f>
        <v>6. Em implementação (re-especificação)</v>
      </c>
      <c r="H556" s="136" t="s">
        <v>619</v>
      </c>
      <c r="I556" s="143" t="s">
        <v>1966</v>
      </c>
      <c r="J556" s="153">
        <f>IF(VLOOKUP(A556,'Aux - pivots1'!$A:$E,3,0)=0, "",VLOOKUP(A556,'Aux - pivots1'!$A:$E,3,0))</f>
        <v>45593</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lt004_protectionflg_col</v>
      </c>
      <c r="B557" s="142" t="s">
        <v>26</v>
      </c>
      <c r="C557" s="138" t="s">
        <v>26</v>
      </c>
      <c r="D557" s="134" t="s">
        <v>40</v>
      </c>
      <c r="E557" s="137" t="s">
        <v>369</v>
      </c>
      <c r="F557" s="137" t="s">
        <v>480</v>
      </c>
      <c r="G557" s="136" t="str">
        <f>VLOOKUP(A557,Plano_V3!$A$26:$G$586,7,0)</f>
        <v>6. Em implementação (re-especificação)</v>
      </c>
      <c r="H557" s="136" t="s">
        <v>619</v>
      </c>
      <c r="I557" s="143" t="s">
        <v>1966</v>
      </c>
      <c r="J557" s="153">
        <f>IF(VLOOKUP(A557,'Aux - pivots1'!$A:$E,3,0)=0, "",VLOOKUP(A557,'Aux - pivots1'!$A:$E,3,0))</f>
        <v>45593</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lt004_protectionflg_pro</v>
      </c>
      <c r="B558" s="142" t="s">
        <v>26</v>
      </c>
      <c r="C558" s="138" t="s">
        <v>26</v>
      </c>
      <c r="D558" s="134" t="s">
        <v>40</v>
      </c>
      <c r="E558" s="137" t="s">
        <v>369</v>
      </c>
      <c r="F558" s="137" t="s">
        <v>482</v>
      </c>
      <c r="G558" s="136" t="str">
        <f>VLOOKUP(A558,Plano_V3!$A$26:$G$586,7,0)</f>
        <v>6. Em implementação (re-especificação)</v>
      </c>
      <c r="H558" s="136" t="s">
        <v>619</v>
      </c>
      <c r="I558" s="143" t="s">
        <v>1966</v>
      </c>
      <c r="J558" s="153">
        <f>IF(VLOOKUP(A558,'Aux - pivots1'!$A:$E,3,0)=0, "",VLOOKUP(A558,'Aux - pivots1'!$A:$E,3,0))</f>
        <v>45593</v>
      </c>
      <c r="K558" s="153" t="str">
        <f>IF(VLOOKUP(A558,'Aux - pivots1'!$A:$E,4,0)=0, "",VLOOKUP(A558,'Aux - pivots1'!$A:$E,4,0))</f>
        <v/>
      </c>
      <c r="L558" s="153" t="str">
        <f>IF(VLOOKUP(A558,'Aux - pivots1'!$A:$E,5,0)=0, "",VLOOKUP(A558,'Aux - pivots1'!$A:$E,5,0))</f>
        <v/>
      </c>
      <c r="M558" s="209"/>
      <c r="N558" s="209"/>
    </row>
    <row r="559" spans="1:14" ht="16.2" hidden="1" customHeight="1">
      <c r="A559" s="30" t="str">
        <f t="shared" ref="A559:A568" si="12">E559&amp;F559</f>
        <v>modesg_inp_emss_nacenome_regiao</v>
      </c>
      <c r="B559" s="142" t="s">
        <v>26</v>
      </c>
      <c r="C559" s="138" t="s">
        <v>181</v>
      </c>
      <c r="D559" s="134" t="s">
        <v>40</v>
      </c>
      <c r="E559" s="135" t="s">
        <v>219</v>
      </c>
      <c r="F559" s="134" t="s">
        <v>221</v>
      </c>
      <c r="G559" s="136" t="s">
        <v>613</v>
      </c>
      <c r="H559" s="136" t="s">
        <v>613</v>
      </c>
      <c r="I559" s="143"/>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2"/>
        <v>modesg_inp_emss_nacearea_atividade</v>
      </c>
      <c r="B560" s="142" t="s">
        <v>26</v>
      </c>
      <c r="C560" s="138" t="s">
        <v>181</v>
      </c>
      <c r="D560" s="134" t="s">
        <v>40</v>
      </c>
      <c r="E560" s="135" t="s">
        <v>219</v>
      </c>
      <c r="F560" s="134" t="s">
        <v>665</v>
      </c>
      <c r="G560" s="136" t="s">
        <v>613</v>
      </c>
      <c r="H560" s="136" t="s">
        <v>613</v>
      </c>
      <c r="I560" s="143"/>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2"/>
        <v>modesg_inp_emss_nacetipo_atividade</v>
      </c>
      <c r="B561" s="142" t="s">
        <v>26</v>
      </c>
      <c r="C561" s="138" t="s">
        <v>181</v>
      </c>
      <c r="D561" s="134" t="s">
        <v>40</v>
      </c>
      <c r="E561" s="135" t="s">
        <v>219</v>
      </c>
      <c r="F561" s="134" t="s">
        <v>666</v>
      </c>
      <c r="G561" s="136" t="s">
        <v>613</v>
      </c>
      <c r="H561" s="136" t="s">
        <v>613</v>
      </c>
      <c r="I561" s="143"/>
      <c r="J561" s="153" t="str">
        <f>IF(VLOOKUP(A561,'Aux - pivots1'!$A:$E,3,0)=0, "",VLOOKUP(A561,'Aux - pivots1'!$A:$E,3,0))</f>
        <v/>
      </c>
      <c r="K561" s="153" t="str">
        <f>IF(VLOOKUP(A561,'Aux - pivots1'!$A:$E,4,0)=0, "",VLOOKUP(A561,'Aux - pivots1'!$A:$E,4,0))</f>
        <v/>
      </c>
      <c r="L561" s="153" t="str">
        <f>IF(VLOOKUP(A561,'Aux - pivots1'!$A:$E,5,0)=0, "",VLOOKUP(A561,'Aux - pivots1'!$A:$E,5,0))</f>
        <v/>
      </c>
      <c r="M561" s="209"/>
      <c r="N561" s="209"/>
    </row>
    <row r="562" spans="1:14" ht="16.2" hidden="1" customHeight="1">
      <c r="A562" s="30" t="str">
        <f t="shared" si="12"/>
        <v>modesg_inp_emss_nacesub_tipo_atividade_1</v>
      </c>
      <c r="B562" s="142" t="s">
        <v>26</v>
      </c>
      <c r="C562" s="138" t="s">
        <v>181</v>
      </c>
      <c r="D562" s="134" t="s">
        <v>40</v>
      </c>
      <c r="E562" s="135" t="s">
        <v>219</v>
      </c>
      <c r="F562" s="134" t="s">
        <v>667</v>
      </c>
      <c r="G562" s="136" t="s">
        <v>613</v>
      </c>
      <c r="H562" s="136" t="s">
        <v>613</v>
      </c>
      <c r="I562" s="143"/>
      <c r="J562" s="153" t="str">
        <f>IF(VLOOKUP(A562,'Aux - pivots1'!$A:$E,3,0)=0, "",VLOOKUP(A562,'Aux - pivots1'!$A:$E,3,0))</f>
        <v/>
      </c>
      <c r="K562" s="153" t="str">
        <f>IF(VLOOKUP(A562,'Aux - pivots1'!$A:$E,4,0)=0, "",VLOOKUP(A562,'Aux - pivots1'!$A:$E,4,0))</f>
        <v/>
      </c>
      <c r="L562" s="153" t="str">
        <f>IF(VLOOKUP(A562,'Aux - pivots1'!$A:$E,5,0)=0, "",VLOOKUP(A562,'Aux - pivots1'!$A:$E,5,0))</f>
        <v/>
      </c>
      <c r="M562" s="209"/>
      <c r="N562" s="209"/>
    </row>
    <row r="563" spans="1:14" ht="16.2" hidden="1" customHeight="1">
      <c r="A563" s="30" t="str">
        <f t="shared" si="12"/>
        <v>modesg_inp_emss_nacesub_tipo_atividade_2</v>
      </c>
      <c r="B563" s="142" t="s">
        <v>26</v>
      </c>
      <c r="C563" s="138" t="s">
        <v>181</v>
      </c>
      <c r="D563" s="134" t="s">
        <v>40</v>
      </c>
      <c r="E563" s="135" t="s">
        <v>219</v>
      </c>
      <c r="F563" s="134" t="s">
        <v>668</v>
      </c>
      <c r="G563" s="136" t="s">
        <v>613</v>
      </c>
      <c r="H563" s="136" t="s">
        <v>613</v>
      </c>
      <c r="I563" s="143"/>
      <c r="J563" s="153" t="str">
        <f>IF(VLOOKUP(A563,'Aux - pivots1'!$A:$E,3,0)=0, "",VLOOKUP(A563,'Aux - pivots1'!$A:$E,3,0))</f>
        <v/>
      </c>
      <c r="K563" s="153" t="str">
        <f>IF(VLOOKUP(A563,'Aux - pivots1'!$A:$E,4,0)=0, "",VLOOKUP(A563,'Aux - pivots1'!$A:$E,4,0))</f>
        <v/>
      </c>
      <c r="L563" s="153" t="str">
        <f>IF(VLOOKUP(A563,'Aux - pivots1'!$A:$E,5,0)=0, "",VLOOKUP(A563,'Aux - pivots1'!$A:$E,5,0))</f>
        <v/>
      </c>
      <c r="M563" s="209"/>
      <c r="N563" s="209"/>
    </row>
    <row r="564" spans="1:14" ht="16.2" hidden="1" customHeight="1">
      <c r="A564" s="30" t="str">
        <f t="shared" si="12"/>
        <v>modesg_inp_emss_naceunidades_unidade_funcional</v>
      </c>
      <c r="B564" s="142" t="s">
        <v>26</v>
      </c>
      <c r="C564" s="138" t="s">
        <v>181</v>
      </c>
      <c r="D564" s="134" t="s">
        <v>40</v>
      </c>
      <c r="E564" s="135" t="s">
        <v>219</v>
      </c>
      <c r="F564" s="134" t="s">
        <v>669</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2" hidden="1" customHeight="1">
      <c r="A565" s="30" t="str">
        <f t="shared" si="12"/>
        <v>modesg_inp_emss_nacefator_emissao</v>
      </c>
      <c r="B565" s="142" t="s">
        <v>26</v>
      </c>
      <c r="C565" s="138" t="s">
        <v>181</v>
      </c>
      <c r="D565" s="134" t="s">
        <v>40</v>
      </c>
      <c r="E565" s="135" t="s">
        <v>219</v>
      </c>
      <c r="F565" s="134" t="s">
        <v>670</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modesg_inp_km_medios_emss_vclsmedia_scp1_emss</v>
      </c>
      <c r="B566" s="142" t="s">
        <v>26</v>
      </c>
      <c r="C566" s="138" t="s">
        <v>181</v>
      </c>
      <c r="D566" s="134" t="s">
        <v>40</v>
      </c>
      <c r="E566" s="135" t="s">
        <v>214</v>
      </c>
      <c r="F566" s="134" t="s">
        <v>671</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modesg_inp_km_medios_emss_vclsmedia_scp2_emss</v>
      </c>
      <c r="B567" s="142" t="s">
        <v>26</v>
      </c>
      <c r="C567" s="138" t="s">
        <v>181</v>
      </c>
      <c r="D567" s="134" t="s">
        <v>40</v>
      </c>
      <c r="E567" s="135" t="s">
        <v>214</v>
      </c>
      <c r="F567" s="134" t="s">
        <v>672</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modesg_inp_km_medios_emss_vclsmedia_scp3_emss</v>
      </c>
      <c r="B568" s="146" t="s">
        <v>26</v>
      </c>
      <c r="C568" s="147" t="s">
        <v>181</v>
      </c>
      <c r="D568" s="148" t="s">
        <v>40</v>
      </c>
      <c r="E568" s="149" t="s">
        <v>214</v>
      </c>
      <c r="F568" s="148" t="s">
        <v>673</v>
      </c>
      <c r="G568" s="150" t="s">
        <v>613</v>
      </c>
      <c r="H568" s="150" t="s">
        <v>613</v>
      </c>
      <c r="I568" s="151"/>
      <c r="J568" s="153" t="str">
        <f>IF(VLOOKUP(A568,'Aux - pivots1'!$A:$E,3,0)=0, "",VLOOKUP(A568,'Aux - pivots1'!$A:$E,3,0))</f>
        <v/>
      </c>
      <c r="K568" s="153" t="str">
        <f>IF(VLOOKUP(A568,'Aux - pivots1'!$A:$E,4,0)=0, "",VLOOKUP(A568,'Aux - pivots1'!$A:$E,4,0))</f>
        <v/>
      </c>
      <c r="L568" s="153" t="str">
        <f>IF(VLOOKUP(A568,'Aux - pivots1'!$A:$E,5,0)=0, "",VLOOKUP(A568,'Aux - pivots1'!$A:$E,5,0))</f>
        <v/>
      </c>
      <c r="M568" s="211"/>
      <c r="N568"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0"/>
  <sheetViews>
    <sheetView showGridLines="0" zoomScale="60" zoomScaleNormal="60" workbookViewId="0">
      <pane xSplit="17" ySplit="13" topLeftCell="CV20" activePane="bottomRight" state="frozen"/>
      <selection pane="topRight" activeCell="D136" sqref="D136"/>
      <selection pane="bottomLeft" activeCell="D136" sqref="D136"/>
      <selection pane="bottomRight" activeCell="CW11" sqref="CW11:CX1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45589</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SUBTOTAL(9,R14:R586)</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SUBTOTAL(9,AX14:AX586)</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SUBTOTAL(9,CD14:CD586)</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SUBTOTAL(9,DJ14:DJ586)</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108</v>
      </c>
      <c r="L19" s="186">
        <f>N19*J19</f>
        <v>13.5</v>
      </c>
      <c r="M19" s="181">
        <f>SUMPRODUCT(M20:M23,I20:I23)/I19</f>
        <v>0.9</v>
      </c>
      <c r="N19" s="181">
        <f>SUMPRODUCT(N20:N22,J20:J22)/J19</f>
        <v>0.9</v>
      </c>
      <c r="O19" s="181">
        <f t="shared" ref="O19:O22" si="14">N19-M19</f>
        <v>0</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c r="B22" s="64" t="s">
        <v>26</v>
      </c>
      <c r="C22" s="103" t="s">
        <v>30</v>
      </c>
      <c r="D22" s="97"/>
      <c r="E22" s="97"/>
      <c r="F22" s="97"/>
      <c r="G22" s="97" t="s">
        <v>28</v>
      </c>
      <c r="H22" s="97"/>
      <c r="I22" s="187">
        <f>J22*8</f>
        <v>40</v>
      </c>
      <c r="J22" s="187">
        <v>5</v>
      </c>
      <c r="K22" s="187"/>
      <c r="L22" s="187"/>
      <c r="M22" s="192">
        <f>SUMIFS(R22:ES22,$R$9:$ES$9,"S")/J22</f>
        <v>0.7</v>
      </c>
      <c r="N22" s="192">
        <v>0.7</v>
      </c>
      <c r="O22" s="192">
        <f t="shared" si="14"/>
        <v>0</v>
      </c>
      <c r="P22" s="194" t="s">
        <v>1959</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I25+I40+I203+I370+I455</f>
        <v>2181.3400000000051</v>
      </c>
      <c r="J24" s="186">
        <f>J25+J40+J203+J370+J455</f>
        <v>275</v>
      </c>
      <c r="K24" s="186">
        <f>K25+K40+K203+K370+K455</f>
        <v>1304.128750000001</v>
      </c>
      <c r="L24" s="186">
        <f>L25+L40+L203+L370+L455</f>
        <v>165</v>
      </c>
      <c r="M24" s="181">
        <f>((M25*J25)+(M40*J40)+(M203*J203)+(M370*J370)+(M455*J455))/J24</f>
        <v>0.54545454545454541</v>
      </c>
      <c r="N24" s="181">
        <f>((N25*L25)+(N40*L40)+(N203*L203)+(N370*L370)+(N455*L455))/L24</f>
        <v>0.69013785570307307</v>
      </c>
      <c r="O24" s="181">
        <f t="shared" ref="O24:O87" si="15">N24-M24</f>
        <v>0.14468331024852765</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SUM(I41:I202)</f>
        <v>831.03750000000264</v>
      </c>
      <c r="J40" s="189">
        <f>ROUNDUP(I40/8,0)</f>
        <v>104</v>
      </c>
      <c r="K40" s="189">
        <f>SUM(K41:K202)</f>
        <v>750.20625000000143</v>
      </c>
      <c r="L40" s="189">
        <f>ROUNDUP(K40/8,0)</f>
        <v>94</v>
      </c>
      <c r="M40" s="188">
        <f>SUMIFS(R40:ES40,$R$9:$ES$9,"S")/J40</f>
        <v>0.94711538461538458</v>
      </c>
      <c r="N40" s="188">
        <f>IFERROR(L40/J40,0)</f>
        <v>0.90384615384615385</v>
      </c>
      <c r="O40" s="188">
        <f t="shared" si="15"/>
        <v>-4.3269230769230727E-2</v>
      </c>
      <c r="P40" s="208" t="s">
        <v>1952</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PROPERTY_ENERGY_CERTIFICATELAND_REGISTRY_OFFICE_CODE</v>
      </c>
      <c r="B134" s="68" t="s">
        <v>26</v>
      </c>
      <c r="C134" s="69" t="s">
        <v>54</v>
      </c>
      <c r="D134" s="65" t="s">
        <v>40</v>
      </c>
      <c r="E134" s="67" t="s">
        <v>123</v>
      </c>
      <c r="F134" s="67" t="s">
        <v>125</v>
      </c>
      <c r="G134" s="65" t="str">
        <f>INDEX(Auxiliar!$B$16:$B$24,MATCH(Plano_V3!H134,Auxiliar!$C$16:$C$24,0),1)</f>
        <v>6. Em implementação (re-especificação)</v>
      </c>
      <c r="H134" s="65">
        <f>VLOOKUP(A134,'Aux - pivots1'!$A:$B,2,0)</f>
        <v>7</v>
      </c>
      <c r="I134" s="190">
        <f>SUMIFS(Table1[Estimação (horas)],Table1[Tabela],Plano_V3!E134,Table1[Campo],Plano_V3!F134)</f>
        <v>4.0999999999999996</v>
      </c>
      <c r="J134" s="190">
        <f t="shared" si="26"/>
        <v>0.51249999999999996</v>
      </c>
      <c r="K134" s="190">
        <f>SUMIFS(Table1[Horas efetivas],Table1[Tabela],Plano_V3!E134,Table1[Campo],Plano_V3!F134)</f>
        <v>1.0249999999999999</v>
      </c>
      <c r="L134" s="190">
        <f t="shared" si="27"/>
        <v>0.12812499999999999</v>
      </c>
      <c r="M134" s="184"/>
      <c r="N134" s="184">
        <f t="shared" si="28"/>
        <v>0.25</v>
      </c>
      <c r="O134" s="184">
        <f t="shared" si="23"/>
        <v>0.25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PROPERTY_ENERGY_CERTIFICATEPROPERTY_IDENTIFICATION_CODE</v>
      </c>
      <c r="B135" s="68" t="s">
        <v>26</v>
      </c>
      <c r="C135" s="69" t="s">
        <v>54</v>
      </c>
      <c r="D135" s="65" t="s">
        <v>40</v>
      </c>
      <c r="E135" s="67" t="s">
        <v>123</v>
      </c>
      <c r="F135" s="67" t="s">
        <v>126</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PROPERTY_ENERGY_CERTIFICATEEPC_ISSUING_DATE</v>
      </c>
      <c r="B137" s="68" t="s">
        <v>26</v>
      </c>
      <c r="C137" s="69" t="s">
        <v>54</v>
      </c>
      <c r="D137" s="65" t="s">
        <v>40</v>
      </c>
      <c r="E137" s="67" t="s">
        <v>123</v>
      </c>
      <c r="F137" s="67" t="s">
        <v>128</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PROPERTY_ENERGY_CERTIFICATEEPC_EXPIRATION_DATE</v>
      </c>
      <c r="B138" s="68" t="s">
        <v>26</v>
      </c>
      <c r="C138" s="69" t="s">
        <v>54</v>
      </c>
      <c r="D138" s="65" t="s">
        <v>40</v>
      </c>
      <c r="E138" s="67" t="s">
        <v>123</v>
      </c>
      <c r="F138" s="67" t="s">
        <v>129</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v>
      </c>
      <c r="B139" s="68" t="s">
        <v>26</v>
      </c>
      <c r="C139" s="69" t="s">
        <v>54</v>
      </c>
      <c r="D139" s="65" t="s">
        <v>40</v>
      </c>
      <c r="E139" s="67" t="s">
        <v>123</v>
      </c>
      <c r="F139" s="67" t="s">
        <v>47</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PROPERTY_ENERGY_CERTIFICATEENERGY_EFFICIENCY_IND</v>
      </c>
      <c r="B142" s="68" t="s">
        <v>26</v>
      </c>
      <c r="C142" s="69" t="s">
        <v>54</v>
      </c>
      <c r="D142" s="65" t="s">
        <v>40</v>
      </c>
      <c r="E142" s="67" t="s">
        <v>123</v>
      </c>
      <c r="F142" s="67" t="s">
        <v>132</v>
      </c>
      <c r="G142" s="65" t="str">
        <f>INDEX(Auxiliar!$B$16:$B$24,MATCH(Plano_V3!H142,Auxiliar!$C$16:$C$24,0),1)</f>
        <v>6. Em implementação (re-especificação)</v>
      </c>
      <c r="H142" s="65">
        <f>VLOOKUP(A142,'Aux - pivots1'!$A:$B,2,0)</f>
        <v>7</v>
      </c>
      <c r="I142" s="190">
        <f>SUMIFS(Table1[Estimação (horas)],Table1[Tabela],Plano_V3!E142,Table1[Campo],Plano_V3!F142)</f>
        <v>4.0999999999999996</v>
      </c>
      <c r="J142" s="190">
        <f t="shared" si="26"/>
        <v>0.51249999999999996</v>
      </c>
      <c r="K142" s="190">
        <f>SUMIFS(Table1[Horas efetivas],Table1[Tabela],Plano_V3!E142,Table1[Campo],Plano_V3!F142)</f>
        <v>1.0249999999999999</v>
      </c>
      <c r="L142" s="190">
        <f t="shared" si="27"/>
        <v>0.12812499999999999</v>
      </c>
      <c r="M142" s="184"/>
      <c r="N142" s="184">
        <f t="shared" si="28"/>
        <v>0.25</v>
      </c>
      <c r="O142" s="184">
        <f t="shared" si="23"/>
        <v>0.25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PROPERTY_ENERGY_CERTIFICATENZEB_IND</v>
      </c>
      <c r="B144" s="68" t="s">
        <v>26</v>
      </c>
      <c r="C144" s="69" t="s">
        <v>54</v>
      </c>
      <c r="D144" s="65" t="s">
        <v>40</v>
      </c>
      <c r="E144" s="67" t="s">
        <v>123</v>
      </c>
      <c r="F144" s="67" t="s">
        <v>134</v>
      </c>
      <c r="G144" s="65" t="str">
        <f>INDEX(Auxiliar!$B$16:$B$24,MATCH(Plano_V3!H144,Auxiliar!$C$16:$C$24,0),1)</f>
        <v>6. Em implementação (re-especificação)</v>
      </c>
      <c r="H144" s="65">
        <f>VLOOKUP(A144,'Aux - pivots1'!$A:$B,2,0)</f>
        <v>7</v>
      </c>
      <c r="I144" s="190">
        <f>SUMIFS(Table1[Estimação (horas)],Table1[Tabela],Plano_V3!E144,Table1[Campo],Plano_V3!F144)</f>
        <v>4.0999999999999996</v>
      </c>
      <c r="J144" s="190">
        <f t="shared" si="26"/>
        <v>0.51249999999999996</v>
      </c>
      <c r="K144" s="190">
        <f>SUMIFS(Table1[Horas efetivas],Table1[Tabela],Plano_V3!E144,Table1[Campo],Plano_V3!F144)</f>
        <v>1.0249999999999999</v>
      </c>
      <c r="L144" s="190">
        <f t="shared" si="27"/>
        <v>0.12812499999999999</v>
      </c>
      <c r="M144" s="184"/>
      <c r="N144" s="184">
        <f t="shared" si="28"/>
        <v>0.25</v>
      </c>
      <c r="O144" s="184">
        <f t="shared" si="23"/>
        <v>0.25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PROPERTY_ENERGY_CERTIFICATEACTUAL_VALUE_IND</v>
      </c>
      <c r="B145" s="68" t="s">
        <v>26</v>
      </c>
      <c r="C145" s="69" t="s">
        <v>54</v>
      </c>
      <c r="D145" s="65" t="s">
        <v>40</v>
      </c>
      <c r="E145" s="67" t="s">
        <v>123</v>
      </c>
      <c r="F145" s="67" t="s">
        <v>49</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PROPERTY_ENERGY_CERTIFICATESOURCE_CODE</v>
      </c>
      <c r="B147" s="68" t="s">
        <v>26</v>
      </c>
      <c r="C147" s="69" t="s">
        <v>54</v>
      </c>
      <c r="D147" s="65" t="s">
        <v>40</v>
      </c>
      <c r="E147" s="67" t="s">
        <v>123</v>
      </c>
      <c r="F147" s="67" t="s">
        <v>87</v>
      </c>
      <c r="G147" s="65" t="str">
        <f>INDEX(Auxiliar!$B$16:$B$24,MATCH(Plano_V3!H147,Auxiliar!$C$16:$C$24,0),1)</f>
        <v>6. Em implementação (re-especificação)</v>
      </c>
      <c r="H147" s="65">
        <f>VLOOKUP(A147,'Aux - pivots1'!$A:$B,2,0)</f>
        <v>7</v>
      </c>
      <c r="I147" s="190">
        <f>SUMIFS(Table1[Estimação (horas)],Table1[Tabela],Plano_V3!E147,Table1[Campo],Plano_V3!F147)</f>
        <v>4.0999999999999996</v>
      </c>
      <c r="J147" s="190">
        <f t="shared" si="26"/>
        <v>0.51249999999999996</v>
      </c>
      <c r="K147" s="190">
        <f>SUMIFS(Table1[Horas efetivas],Table1[Tabela],Plano_V3!E147,Table1[Campo],Plano_V3!F147)</f>
        <v>1.0249999999999999</v>
      </c>
      <c r="L147" s="190">
        <f t="shared" si="27"/>
        <v>0.12812499999999999</v>
      </c>
      <c r="M147" s="184"/>
      <c r="N147" s="184">
        <f t="shared" si="28"/>
        <v>0.25</v>
      </c>
      <c r="O147" s="184">
        <f t="shared" si="23"/>
        <v>0.25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PROPERTY_ENERGY_CERTIFICATECERTIFICATE_TYPE</v>
      </c>
      <c r="B149" s="68" t="s">
        <v>26</v>
      </c>
      <c r="C149" s="69" t="s">
        <v>54</v>
      </c>
      <c r="D149" s="65" t="s">
        <v>40</v>
      </c>
      <c r="E149" s="67" t="s">
        <v>123</v>
      </c>
      <c r="F149" s="67" t="s">
        <v>136</v>
      </c>
      <c r="G149" s="65" t="str">
        <f>INDEX(Auxiliar!$B$16:$B$24,MATCH(Plano_V3!H149,Auxiliar!$C$16:$C$24,0),1)</f>
        <v>6. Em implementação (re-especificação)</v>
      </c>
      <c r="H149" s="65">
        <f>VLOOKUP(A149,'Aux - pivots1'!$A:$B,2,0)</f>
        <v>7</v>
      </c>
      <c r="I149" s="190">
        <f>SUMIFS(Table1[Estimação (horas)],Table1[Tabela],Plano_V3!E149,Table1[Campo],Plano_V3!F149)</f>
        <v>4.0999999999999996</v>
      </c>
      <c r="J149" s="190">
        <f t="shared" si="26"/>
        <v>0.51249999999999996</v>
      </c>
      <c r="K149" s="190">
        <f>SUMIFS(Table1[Horas efetivas],Table1[Tabela],Plano_V3!E149,Table1[Campo],Plano_V3!F149)</f>
        <v>1.0249999999999999</v>
      </c>
      <c r="L149" s="190">
        <f t="shared" si="27"/>
        <v>0.12812499999999999</v>
      </c>
      <c r="M149" s="184"/>
      <c r="N149" s="184">
        <f t="shared" si="28"/>
        <v>0.25</v>
      </c>
      <c r="O149" s="184">
        <f t="shared" si="23"/>
        <v>0.25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1"/>
        <v>PROPERTY_ENERGY_CERTIFICATEENERGY_CONSUMPTION_VALUE_YEAR</v>
      </c>
      <c r="B161" s="68" t="s">
        <v>26</v>
      </c>
      <c r="C161" s="69" t="s">
        <v>54</v>
      </c>
      <c r="D161" s="65" t="s">
        <v>40</v>
      </c>
      <c r="E161" s="67" t="s">
        <v>123</v>
      </c>
      <c r="F161" s="67" t="s">
        <v>51</v>
      </c>
      <c r="G161" s="65" t="str">
        <f>INDEX(Auxiliar!$B$16:$B$24,MATCH(Plano_V3!H161,Auxiliar!$C$16:$C$24,0),1)</f>
        <v>6. Em implementação (re-especificação)</v>
      </c>
      <c r="H161" s="65">
        <f>VLOOKUP(A161,'Aux - pivots1'!$A:$B,2,0)</f>
        <v>7</v>
      </c>
      <c r="I161" s="190">
        <f>SUMIFS(Table1[Estimação (horas)],Table1[Tabela],Plano_V3!E161,Table1[Campo],Plano_V3!F161)</f>
        <v>4.0999999999999996</v>
      </c>
      <c r="J161" s="190">
        <f t="shared" si="26"/>
        <v>0.51249999999999996</v>
      </c>
      <c r="K161" s="190">
        <f>SUMIFS(Table1[Horas efetivas],Table1[Tabela],Plano_V3!E161,Table1[Campo],Plano_V3!F161)</f>
        <v>1.0249999999999999</v>
      </c>
      <c r="L161" s="190">
        <f t="shared" si="27"/>
        <v>0.12812499999999999</v>
      </c>
      <c r="M161" s="184"/>
      <c r="N161" s="184">
        <f t="shared" si="28"/>
        <v>0.25</v>
      </c>
      <c r="O161" s="184">
        <f t="shared" si="29"/>
        <v>0.25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1"/>
        <v>PROPERTY_ENERGY_CERTIFICATECARBON_EMISSION_VALUE_YEAR</v>
      </c>
      <c r="B170" s="68" t="s">
        <v>26</v>
      </c>
      <c r="C170" s="69" t="s">
        <v>54</v>
      </c>
      <c r="D170" s="65" t="s">
        <v>40</v>
      </c>
      <c r="E170" s="67" t="s">
        <v>123</v>
      </c>
      <c r="F170" s="67" t="s">
        <v>52</v>
      </c>
      <c r="G170" s="65" t="str">
        <f>INDEX(Auxiliar!$B$16:$B$24,MATCH(Plano_V3!H170,Auxiliar!$C$16:$C$24,0),1)</f>
        <v>6. Em implementação (re-especificação)</v>
      </c>
      <c r="H170" s="65">
        <f>VLOOKUP(A170,'Aux - pivots1'!$A:$B,2,0)</f>
        <v>7</v>
      </c>
      <c r="I170" s="190">
        <f>SUMIFS(Table1[Estimação (horas)],Table1[Tabela],Plano_V3!E170,Table1[Campo],Plano_V3!F170)</f>
        <v>4.0999999999999996</v>
      </c>
      <c r="J170" s="190">
        <f t="shared" si="32"/>
        <v>0.51249999999999996</v>
      </c>
      <c r="K170" s="190">
        <f>SUMIFS(Table1[Horas efetivas],Table1[Tabela],Plano_V3!E170,Table1[Campo],Plano_V3!F170)</f>
        <v>1.0249999999999999</v>
      </c>
      <c r="L170" s="190">
        <f t="shared" si="33"/>
        <v>0.12812499999999999</v>
      </c>
      <c r="M170" s="184"/>
      <c r="N170" s="184">
        <f t="shared" si="34"/>
        <v>0.25</v>
      </c>
      <c r="O170" s="184">
        <f t="shared" si="29"/>
        <v>0.25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1"/>
        <v>PROPERTY_ENERGY_CERTIFICATEREN_ENERGY_PRODUCED_VALUE</v>
      </c>
      <c r="B175" s="68" t="s">
        <v>26</v>
      </c>
      <c r="C175" s="69" t="s">
        <v>54</v>
      </c>
      <c r="D175" s="65" t="s">
        <v>40</v>
      </c>
      <c r="E175" s="67" t="s">
        <v>123</v>
      </c>
      <c r="F175" s="67" t="s">
        <v>160</v>
      </c>
      <c r="G175" s="65" t="str">
        <f>INDEX(Auxiliar!$B$16:$B$24,MATCH(Plano_V3!H175,Auxiliar!$C$16:$C$24,0),1)</f>
        <v>6. Em implementação (re-especificação)</v>
      </c>
      <c r="H175" s="65">
        <f>VLOOKUP(A175,'Aux - pivots1'!$A:$B,2,0)</f>
        <v>7</v>
      </c>
      <c r="I175" s="190">
        <f>SUMIFS(Table1[Estimação (horas)],Table1[Tabela],Plano_V3!E175,Table1[Campo],Plano_V3!F175)</f>
        <v>4.0999999999999996</v>
      </c>
      <c r="J175" s="190">
        <f t="shared" si="32"/>
        <v>0.51249999999999996</v>
      </c>
      <c r="K175" s="190">
        <f>SUMIFS(Table1[Horas efetivas],Table1[Tabela],Plano_V3!E175,Table1[Campo],Plano_V3!F175)</f>
        <v>1.0249999999999999</v>
      </c>
      <c r="L175" s="190">
        <f t="shared" si="33"/>
        <v>0.12812499999999999</v>
      </c>
      <c r="M175" s="184"/>
      <c r="N175" s="184">
        <f t="shared" si="34"/>
        <v>0.25</v>
      </c>
      <c r="O175" s="184">
        <f t="shared" si="29"/>
        <v>0.25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1"/>
        <v>PROPERTY_ENERGY_CERTIFICATEPRIMARY_ENERGY_REQ_VALUE</v>
      </c>
      <c r="B179" s="68" t="s">
        <v>26</v>
      </c>
      <c r="C179" s="69" t="s">
        <v>54</v>
      </c>
      <c r="D179" s="65" t="s">
        <v>40</v>
      </c>
      <c r="E179" s="67" t="s">
        <v>123</v>
      </c>
      <c r="F179" s="67" t="s">
        <v>164</v>
      </c>
      <c r="G179" s="65" t="str">
        <f>INDEX(Auxiliar!$B$16:$B$24,MATCH(Plano_V3!H179,Auxiliar!$C$16:$C$24,0),1)</f>
        <v>6. Em implementação (re-especificação)</v>
      </c>
      <c r="H179" s="65">
        <f>VLOOKUP(A179,'Aux - pivots1'!$A:$B,2,0)</f>
        <v>7</v>
      </c>
      <c r="I179" s="190">
        <f>SUMIFS(Table1[Estimação (horas)],Table1[Tabela],Plano_V3!E179,Table1[Campo],Plano_V3!F179)</f>
        <v>4.0999999999999996</v>
      </c>
      <c r="J179" s="190">
        <f t="shared" si="32"/>
        <v>0.51249999999999996</v>
      </c>
      <c r="K179" s="190">
        <f>SUMIFS(Table1[Horas efetivas],Table1[Tabela],Plano_V3!E179,Table1[Campo],Plano_V3!F179)</f>
        <v>1.0249999999999999</v>
      </c>
      <c r="L179" s="190">
        <f t="shared" si="33"/>
        <v>0.12812499999999999</v>
      </c>
      <c r="M179" s="184"/>
      <c r="N179" s="184">
        <f t="shared" si="34"/>
        <v>0.25</v>
      </c>
      <c r="O179" s="184">
        <f t="shared" si="29"/>
        <v>0.25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6. Em implementação (re-especificação)</v>
      </c>
      <c r="H194" s="65">
        <f>VLOOKUP(A194,'Aux - pivots1'!$A:$B,2,0)</f>
        <v>7</v>
      </c>
      <c r="I194" s="190">
        <f>SUMIFS(Table1[Estimação (horas)],Table1[Tabela],Plano_V3!E194,Table1[Campo],Plano_V3!F194)</f>
        <v>4.0999999999999996</v>
      </c>
      <c r="J194" s="190">
        <f t="shared" ref="J194:J200" si="36">I194/8</f>
        <v>0.51249999999999996</v>
      </c>
      <c r="K194" s="190">
        <f>SUMIFS(Table1[Horas efetivas],Table1[Tabela],Plano_V3!E194,Table1[Campo],Plano_V3!F194)</f>
        <v>1.0249999999999999</v>
      </c>
      <c r="L194" s="190">
        <f t="shared" ref="L194:L200" si="37">K194/8</f>
        <v>0.12812499999999999</v>
      </c>
      <c r="M194" s="184"/>
      <c r="N194" s="184">
        <f t="shared" ref="N194:N200" si="38">L194/J194</f>
        <v>0.25</v>
      </c>
      <c r="O194" s="184">
        <f t="shared" si="29"/>
        <v>0.25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si="35"/>
        <v>PROPERTY_ENERGY_CERTIFICATECADASTRAL_REGISTER_CODE</v>
      </c>
      <c r="B195" s="68" t="s">
        <v>26</v>
      </c>
      <c r="C195" s="69" t="s">
        <v>54</v>
      </c>
      <c r="D195" s="65" t="s">
        <v>40</v>
      </c>
      <c r="E195" s="67" t="s">
        <v>123</v>
      </c>
      <c r="F195" s="67" t="s">
        <v>98</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si="36"/>
        <v>0.51249999999999996</v>
      </c>
      <c r="K195" s="190">
        <f>SUMIFS(Table1[Horas efetivas],Table1[Tabela],Plano_V3!E195,Table1[Campo],Plano_V3!F195)</f>
        <v>1.0249999999999999</v>
      </c>
      <c r="L195" s="190">
        <f t="shared" si="37"/>
        <v>0.12812499999999999</v>
      </c>
      <c r="M195" s="184"/>
      <c r="N195" s="184">
        <f t="shared" si="38"/>
        <v>0.25</v>
      </c>
      <c r="O195" s="184">
        <f t="shared" si="29"/>
        <v>0.25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5"/>
        <v>PROPERTY_ENERGY_CERTIFICATEDISTRICT_MUNICIP_PARISH_CODE</v>
      </c>
      <c r="B196" s="68" t="s">
        <v>26</v>
      </c>
      <c r="C196" s="69" t="s">
        <v>54</v>
      </c>
      <c r="D196" s="65" t="s">
        <v>40</v>
      </c>
      <c r="E196" s="67" t="s">
        <v>123</v>
      </c>
      <c r="F196" s="67" t="s">
        <v>101</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6"/>
        <v>0.51249999999999996</v>
      </c>
      <c r="K196" s="190">
        <f>SUMIFS(Table1[Horas efetivas],Table1[Tabela],Plano_V3!E196,Table1[Campo],Plano_V3!F196)</f>
        <v>1.0249999999999999</v>
      </c>
      <c r="L196" s="190">
        <f t="shared" si="37"/>
        <v>0.12812499999999999</v>
      </c>
      <c r="M196" s="184"/>
      <c r="N196" s="184">
        <f t="shared" si="38"/>
        <v>0.25</v>
      </c>
      <c r="O196" s="184">
        <f t="shared" si="29"/>
        <v>0.25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5"/>
        <v>PROPERTY_ENERGY_CERTIFICATEPROPERTY_PURPOSE_CODE</v>
      </c>
      <c r="B197" s="68" t="s">
        <v>26</v>
      </c>
      <c r="C197" s="69" t="s">
        <v>54</v>
      </c>
      <c r="D197" s="65" t="s">
        <v>40</v>
      </c>
      <c r="E197" s="67" t="s">
        <v>123</v>
      </c>
      <c r="F197" s="67" t="s">
        <v>102</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6"/>
        <v>0.51249999999999996</v>
      </c>
      <c r="K197" s="190">
        <f>SUMIFS(Table1[Horas efetivas],Table1[Tabela],Plano_V3!E197,Table1[Campo],Plano_V3!F197)</f>
        <v>1.0249999999999999</v>
      </c>
      <c r="L197" s="190">
        <f t="shared" si="37"/>
        <v>0.12812499999999999</v>
      </c>
      <c r="M197" s="184"/>
      <c r="N197" s="184">
        <f t="shared" si="38"/>
        <v>0.25</v>
      </c>
      <c r="O197" s="184">
        <f t="shared" si="29"/>
        <v>0.25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5"/>
        <v>PROPERTY_ENERGY_CERTIFICATEADDRESS_CODE</v>
      </c>
      <c r="B198" s="68" t="s">
        <v>26</v>
      </c>
      <c r="C198" s="69" t="s">
        <v>54</v>
      </c>
      <c r="D198" s="65" t="s">
        <v>40</v>
      </c>
      <c r="E198" s="67" t="s">
        <v>123</v>
      </c>
      <c r="F198" s="67" t="s">
        <v>104</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6"/>
        <v>0.51249999999999996</v>
      </c>
      <c r="K198" s="190">
        <f>SUMIFS(Table1[Horas efetivas],Table1[Tabela],Plano_V3!E198,Table1[Campo],Plano_V3!F198)</f>
        <v>1.0249999999999999</v>
      </c>
      <c r="L198" s="190">
        <f t="shared" si="37"/>
        <v>0.12812499999999999</v>
      </c>
      <c r="M198" s="184"/>
      <c r="N198" s="184">
        <f t="shared" si="38"/>
        <v>0.25</v>
      </c>
      <c r="O198" s="184">
        <f t="shared" si="29"/>
        <v>0.25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5"/>
        <v>PROPERTY_ENERGY_CERTIFICATEFLOOR_NUMBER</v>
      </c>
      <c r="B199" s="68" t="s">
        <v>26</v>
      </c>
      <c r="C199" s="69" t="s">
        <v>54</v>
      </c>
      <c r="D199" s="65" t="s">
        <v>40</v>
      </c>
      <c r="E199" s="67" t="s">
        <v>123</v>
      </c>
      <c r="F199" s="67" t="s">
        <v>111</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6"/>
        <v>0.51249999999999996</v>
      </c>
      <c r="K199" s="190">
        <f>SUMIFS(Table1[Horas efetivas],Table1[Tabela],Plano_V3!E199,Table1[Campo],Plano_V3!F199)</f>
        <v>1.0249999999999999</v>
      </c>
      <c r="L199" s="190">
        <f t="shared" si="37"/>
        <v>0.12812499999999999</v>
      </c>
      <c r="M199" s="184"/>
      <c r="N199" s="184">
        <f t="shared" si="38"/>
        <v>0.25</v>
      </c>
      <c r="O199" s="184">
        <f t="shared" si="29"/>
        <v>0.25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5"/>
        <v>PROPERTY_ENERGY_CERTIFICATELOCALITY</v>
      </c>
      <c r="B200" s="68" t="s">
        <v>26</v>
      </c>
      <c r="C200" s="69" t="s">
        <v>54</v>
      </c>
      <c r="D200" s="65" t="s">
        <v>40</v>
      </c>
      <c r="E200" s="67" t="s">
        <v>123</v>
      </c>
      <c r="F200" s="67" t="s">
        <v>112</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6"/>
        <v>0.51249999999999996</v>
      </c>
      <c r="K200" s="190">
        <f>SUMIFS(Table1[Horas efetivas],Table1[Tabela],Plano_V3!E200,Table1[Campo],Plano_V3!F200)</f>
        <v>1.0249999999999999</v>
      </c>
      <c r="L200" s="190">
        <f t="shared" si="37"/>
        <v>0.12812499999999999</v>
      </c>
      <c r="M200" s="184"/>
      <c r="N200" s="184">
        <f t="shared" si="38"/>
        <v>0.25</v>
      </c>
      <c r="O200" s="184">
        <f t="shared" si="29"/>
        <v>0.25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83.356250000000159</v>
      </c>
      <c r="L202" s="190">
        <f>K202/8</f>
        <v>10.41953125000002</v>
      </c>
      <c r="M202" s="184"/>
      <c r="N202" s="184">
        <f t="shared" si="34"/>
        <v>0.90273453364017753</v>
      </c>
      <c r="O202" s="184">
        <f t="shared" si="29"/>
        <v>0.90273453364017753</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4.8">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1960</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outlineLevel="1">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outlineLevel="1">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outlineLevel="1">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outlineLevel="1">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outlineLevel="1">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outlineLevel="1">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outlineLevel="1">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outlineLevel="1">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outlineLevel="1">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outlineLevel="1">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outlineLevel="1">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outlineLevel="1">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outlineLevel="1">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outlineLevel="1">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outlineLevel="1">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outlineLevel="1">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outlineLevel="1">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outlineLevel="1">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outlineLevel="1">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outlineLevel="1">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outlineLevel="1">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outlineLevel="1">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outlineLevel="1">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outlineLevel="1">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outlineLevel="1">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outlineLevel="1">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outlineLevel="1">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outlineLevel="1">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outlineLevel="1">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outlineLevel="1">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outlineLevel="1">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outlineLevel="1">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outlineLevel="1">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outlineLevel="1">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outlineLevel="1">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outlineLevel="1">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outlineLevel="1">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outlineLevel="1">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outlineLevel="1">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outlineLevel="1">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outlineLevel="1">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outlineLevel="1">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outlineLevel="1">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outlineLevel="1">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outlineLevel="1">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outlineLevel="1">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outlineLevel="1">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outlineLevel="1">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outlineLevel="1">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outlineLevel="1">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outlineLevel="1">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outlineLevel="1">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outlineLevel="1">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outlineLevel="1">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outlineLevel="1">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outlineLevel="1">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outlineLevel="1">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outlineLevel="1">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outlineLevel="1">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outlineLevel="1">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outlineLevel="1">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outlineLevel="1">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outlineLevel="1">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outlineLevel="1">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outlineLevel="1">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outlineLevel="1">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outlineLevel="1">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outlineLevel="1">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outlineLevel="1">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outlineLevel="1">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outlineLevel="1">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outlineLevel="1">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outlineLevel="1">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outlineLevel="1">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outlineLevel="1">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outlineLevel="1">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outlineLevel="1">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outlineLevel="1">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outlineLevel="1">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outlineLevel="1">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outlineLevel="1">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outlineLevel="1">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outlineLevel="1">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outlineLevel="1">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outlineLevel="1">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outlineLevel="1">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outlineLevel="1">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outlineLevel="1">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outlineLevel="1">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outlineLevel="1">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outlineLevel="1">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outlineLevel="1">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outlineLevel="1">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outlineLevel="1">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outlineLevel="1">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outlineLevel="1">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outlineLevel="1">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outlineLevel="1">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outlineLevel="1">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outlineLevel="1">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outlineLevel="1">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outlineLevel="1">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outlineLevel="1">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outlineLevel="1">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outlineLevel="1">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outlineLevel="1">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outlineLevel="1">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outlineLevel="1">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outlineLevel="1">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outlineLevel="1">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outlineLevel="1">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outlineLevel="1">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outlineLevel="1">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outlineLevel="1">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outlineLevel="1">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outlineLevel="1">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outlineLevel="1">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outlineLevel="1">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outlineLevel="1">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outlineLevel="1">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outlineLevel="1">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outlineLevel="1">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outlineLevel="1">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outlineLevel="1">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outlineLevel="1">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outlineLevel="1">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outlineLevel="1">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outlineLevel="1">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outlineLevel="1">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outlineLevel="1">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outlineLevel="1">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outlineLevel="1">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outlineLevel="1">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outlineLevel="1">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outlineLevel="1">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outlineLevel="1">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outlineLevel="1">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outlineLevel="1">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outlineLevel="1">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outlineLevel="1">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outlineLevel="1">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outlineLevel="1">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outlineLevel="1">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outlineLevel="1">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outlineLevel="1">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outlineLevel="1">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outlineLevel="1">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outlineLevel="1">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outlineLevel="1">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outlineLevel="1">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outlineLevel="1">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outlineLevel="1">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outlineLevel="1">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outlineLevel="1">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outlineLevel="1">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outlineLevel="1">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outlineLevel="1">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outlineLevel="1">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outlineLevel="1">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outlineLevel="1">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outlineLevel="1">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outlineLevel="1">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outlineLevel="1">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outlineLevel="1">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outlineLevel="1">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0.255</v>
      </c>
      <c r="N370" s="188">
        <f>IFERROR(L370/J370,0)-15%</f>
        <v>0.19000000000000003</v>
      </c>
      <c r="O370" s="188">
        <f t="shared" si="59"/>
        <v>-6.4999999999999974E-2</v>
      </c>
      <c r="P370" s="195" t="s">
        <v>1953</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outlineLevel="1">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outlineLevel="1">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outlineLevel="1">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outlineLevel="1">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outlineLevel="1">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outlineLevel="1">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outlineLevel="1">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outlineLevel="1">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outlineLevel="1">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outlineLevel="1">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outlineLevel="1">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outlineLevel="1">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outlineLevel="1">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outlineLevel="1">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outlineLevel="1">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outlineLevel="1">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outlineLevel="1">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outlineLevel="1">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outlineLevel="1">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outlineLevel="1">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outlineLevel="1">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outlineLevel="1">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outlineLevel="1">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outlineLevel="1">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outlineLevel="1">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outlineLevel="1">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outlineLevel="1">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outlineLevel="1">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outlineLevel="1">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outlineLevel="1">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outlineLevel="1">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outlineLevel="1">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outlineLevel="1">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outlineLevel="1">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outlineLevel="1">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outlineLevel="1">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outlineLevel="1">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outlineLevel="1">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outlineLevel="1">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outlineLevel="1">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outlineLevel="1">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outlineLevel="1">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outlineLevel="1">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outlineLevel="1">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outlineLevel="1">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outlineLevel="1">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outlineLevel="1">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outlineLevel="1">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outlineLevel="1">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outlineLevel="1">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outlineLevel="1">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outlineLevel="1">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outlineLevel="1">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outlineLevel="1">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outlineLevel="1">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outlineLevel="1">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outlineLevel="1">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outlineLevel="1">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outlineLevel="1">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outlineLevel="1">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outlineLevel="1">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outlineLevel="1">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outlineLevel="1">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outlineLevel="1">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outlineLevel="1">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outlineLevel="1">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outlineLevel="1">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outlineLevel="1">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outlineLevel="1">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outlineLevel="1">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outlineLevel="1">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outlineLevel="1">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outlineLevel="1">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outlineLevel="1">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outlineLevel="1">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outlineLevel="1">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outlineLevel="1">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outlineLevel="1">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outlineLevel="1">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outlineLevel="1">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outlineLevel="1">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outlineLevel="1">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outlineLevel="1">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outlineLevel="1">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 r="A455" s="30" t="str">
        <f t="shared" si="67"/>
        <v/>
      </c>
      <c r="B455" s="102" t="s">
        <v>26</v>
      </c>
      <c r="C455" s="103" t="s">
        <v>30</v>
      </c>
      <c r="D455" s="97"/>
      <c r="E455" s="104"/>
      <c r="F455" s="97"/>
      <c r="G455" s="97"/>
      <c r="H455" s="97"/>
      <c r="I455" s="189">
        <f>SUM(I456:I586)</f>
        <v>354.57500000000147</v>
      </c>
      <c r="J455" s="189">
        <f>ROUNDUP(I455/8,0)</f>
        <v>45</v>
      </c>
      <c r="K455" s="189">
        <f>SUM(K456:K586)</f>
        <v>129.2843749999997</v>
      </c>
      <c r="L455" s="189">
        <f>ROUNDUP(K455/8,0)</f>
        <v>17</v>
      </c>
      <c r="M455" s="188">
        <f>SUMIFS(R455:ES455,$R$9:$ES$9,"S")/J455</f>
        <v>0</v>
      </c>
      <c r="N455" s="188">
        <f>IFERROR(L455/J455,0)</f>
        <v>0.37777777777777777</v>
      </c>
      <c r="O455" s="188">
        <f t="shared" si="65"/>
        <v>0.37777777777777777</v>
      </c>
      <c r="P455" s="196" t="s">
        <v>1964</v>
      </c>
      <c r="Q455" s="91">
        <f t="shared" si="66"/>
        <v>-3</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outlineLevel="1">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19" si="71">I456/8</f>
        <v>0.51249999999999996</v>
      </c>
      <c r="K456" s="182">
        <f>SUMIFS(Table1[Horas efetivas],Table1[Tabela],Plano_V3!E456,Table1[Campo],Plano_V3!F456)</f>
        <v>1.0249999999999999</v>
      </c>
      <c r="L456" s="182">
        <f t="shared" ref="L456:L519" si="72">K456/8</f>
        <v>0.12812499999999999</v>
      </c>
      <c r="M456" s="184"/>
      <c r="N456" s="184">
        <f t="shared" ref="N456:N519"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outlineLevel="1">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ref="A485:A586"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4"/>
        <v>lt002_instrumentrsk_mtgtd_cct</v>
      </c>
      <c r="B500" s="68" t="s">
        <v>26</v>
      </c>
      <c r="C500" s="69" t="s">
        <v>26</v>
      </c>
      <c r="D500" s="65" t="s">
        <v>40</v>
      </c>
      <c r="E500" s="71" t="s">
        <v>380</v>
      </c>
      <c r="F500" s="72" t="s">
        <v>381</v>
      </c>
      <c r="G500" s="65" t="str">
        <f>INDEX(Auxiliar!$B$16:$B$24,MATCH(Plano_V3!H500,Auxiliar!$C$16:$C$24,0),1)</f>
        <v>2.2 Em Re-especificação</v>
      </c>
      <c r="H500" s="65">
        <f>VLOOKUP(A500,'Aux - pivots1'!$A:$B,2,0)</f>
        <v>3</v>
      </c>
      <c r="I500" s="182">
        <f>SUMIFS(Table1[Estimação (horas)],Table1[Tabela],Plano_V3!E500,Table1[Campo],Plano_V3!F500)</f>
        <v>4.0999999999999996</v>
      </c>
      <c r="J500" s="182">
        <f t="shared" si="71"/>
        <v>0.51249999999999996</v>
      </c>
      <c r="K500" s="182">
        <f>SUMIFS(Table1[Horas efetivas],Table1[Tabela],Plano_V3!E500,Table1[Campo],Plano_V3!F500)</f>
        <v>2.0499999999999998</v>
      </c>
      <c r="L500" s="182">
        <f t="shared" si="72"/>
        <v>0.25624999999999998</v>
      </c>
      <c r="M500" s="184"/>
      <c r="N500" s="184">
        <f t="shared" si="73"/>
        <v>0.5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4"/>
        <v>lt002_instrumentrsk_mtgtd_ccp</v>
      </c>
      <c r="B501" s="68" t="s">
        <v>26</v>
      </c>
      <c r="C501" s="69" t="s">
        <v>26</v>
      </c>
      <c r="D501" s="65" t="s">
        <v>40</v>
      </c>
      <c r="E501" s="71" t="s">
        <v>380</v>
      </c>
      <c r="F501" s="72" t="s">
        <v>382</v>
      </c>
      <c r="G501" s="65" t="str">
        <f>INDEX(Auxiliar!$B$16:$B$24,MATCH(Plano_V3!H501,Auxiliar!$C$16:$C$24,0),1)</f>
        <v>2.2 Em Re-especificação</v>
      </c>
      <c r="H501" s="65">
        <f>VLOOKUP(A501,'Aux - pivots1'!$A:$B,2,0)</f>
        <v>3</v>
      </c>
      <c r="I501" s="182">
        <f>SUMIFS(Table1[Estimação (horas)],Table1[Tabela],Plano_V3!E501,Table1[Campo],Plano_V3!F501)</f>
        <v>4.0999999999999996</v>
      </c>
      <c r="J501" s="182">
        <f t="shared" si="71"/>
        <v>0.51249999999999996</v>
      </c>
      <c r="K501" s="182">
        <f>SUMIFS(Table1[Horas efetivas],Table1[Tabela],Plano_V3!E501,Table1[Campo],Plano_V3!F501)</f>
        <v>2.0499999999999998</v>
      </c>
      <c r="L501" s="182">
        <f t="shared" si="72"/>
        <v>0.25624999999999998</v>
      </c>
      <c r="M501" s="184"/>
      <c r="N501" s="184">
        <f t="shared" si="73"/>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4"/>
        <v>lt002_instrumentenvrnmntl_objctv</v>
      </c>
      <c r="B502" s="68" t="s">
        <v>26</v>
      </c>
      <c r="C502" s="69" t="s">
        <v>26</v>
      </c>
      <c r="D502" s="65" t="s">
        <v>40</v>
      </c>
      <c r="E502" s="71" t="s">
        <v>380</v>
      </c>
      <c r="F502" s="72" t="s">
        <v>383</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4"/>
        <v>lt002_instrumenttyp_actvty</v>
      </c>
      <c r="B503" s="68" t="s">
        <v>26</v>
      </c>
      <c r="C503" s="69" t="s">
        <v>26</v>
      </c>
      <c r="D503" s="65" t="s">
        <v>40</v>
      </c>
      <c r="E503" s="71" t="s">
        <v>380</v>
      </c>
      <c r="F503" s="72" t="s">
        <v>384</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4"/>
        <v>lt002_instrumentlns_clltrlzd_clssfctn</v>
      </c>
      <c r="B504" s="68" t="s">
        <v>26</v>
      </c>
      <c r="C504" s="69" t="s">
        <v>26</v>
      </c>
      <c r="D504" s="65" t="s">
        <v>40</v>
      </c>
      <c r="E504" s="71" t="s">
        <v>380</v>
      </c>
      <c r="F504" s="72" t="s">
        <v>385</v>
      </c>
      <c r="G504" s="65" t="str">
        <f>INDEX(Auxiliar!$B$16:$B$24,MATCH(Plano_V3!H504,Auxiliar!$C$16:$C$24,0),1)</f>
        <v>1. Concluído</v>
      </c>
      <c r="H504" s="65">
        <f>VLOOKUP(A504,'Aux - pivots1'!$A:$B,2,0)</f>
        <v>1</v>
      </c>
      <c r="I504" s="182">
        <f>SUMIFS(Table1[Estimação (horas)],Table1[Tabela],Plano_V3!E504,Table1[Campo],Plano_V3!F504)</f>
        <v>4.0999999999999996</v>
      </c>
      <c r="J504" s="182">
        <f t="shared" si="71"/>
        <v>0.51249999999999996</v>
      </c>
      <c r="K504" s="182">
        <f>SUMIFS(Table1[Horas efetivas],Table1[Tabela],Plano_V3!E504,Table1[Campo],Plano_V3!F504)</f>
        <v>4.0999999999999996</v>
      </c>
      <c r="L504" s="182">
        <f t="shared" si="72"/>
        <v>0.51249999999999996</v>
      </c>
      <c r="M504" s="184"/>
      <c r="N504" s="184">
        <f t="shared" si="73"/>
        <v>1</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4"/>
        <v>lt002_instrumentmthd_usd_instrmnt_scp_1</v>
      </c>
      <c r="B505" s="68" t="s">
        <v>26</v>
      </c>
      <c r="C505" s="69" t="s">
        <v>26</v>
      </c>
      <c r="D505" s="65" t="s">
        <v>40</v>
      </c>
      <c r="E505" s="71" t="s">
        <v>380</v>
      </c>
      <c r="F505" s="72" t="s">
        <v>386</v>
      </c>
      <c r="G505" s="65" t="str">
        <f>INDEX(Auxiliar!$B$16:$B$24,MATCH(Plano_V3!H505,Auxiliar!$C$16:$C$24,0),1)</f>
        <v>6. Em implementação (re-especificação)</v>
      </c>
      <c r="H505" s="65">
        <f>VLOOKUP(A505,'Aux - pivots1'!$A:$B,2,0)</f>
        <v>7</v>
      </c>
      <c r="I505" s="182">
        <f>SUMIFS(Table1[Estimação (horas)],Table1[Tabela],Plano_V3!E505,Table1[Campo],Plano_V3!F505)</f>
        <v>4.0999999999999996</v>
      </c>
      <c r="J505" s="182">
        <f t="shared" si="71"/>
        <v>0.51249999999999996</v>
      </c>
      <c r="K505" s="182">
        <f>SUMIFS(Table1[Horas efetivas],Table1[Tabela],Plano_V3!E505,Table1[Campo],Plano_V3!F505)</f>
        <v>1.0249999999999999</v>
      </c>
      <c r="L505" s="182">
        <f t="shared" si="72"/>
        <v>0.12812499999999999</v>
      </c>
      <c r="M505" s="184"/>
      <c r="N505" s="184">
        <f t="shared" si="73"/>
        <v>0.25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4"/>
        <v>lt002_instrumentmthd_usd_instrmnt_scp_2</v>
      </c>
      <c r="B506" s="68" t="s">
        <v>26</v>
      </c>
      <c r="C506" s="69" t="s">
        <v>26</v>
      </c>
      <c r="D506" s="65" t="s">
        <v>40</v>
      </c>
      <c r="E506" s="71" t="s">
        <v>380</v>
      </c>
      <c r="F506" s="72" t="s">
        <v>387</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1"/>
        <v>0.51249999999999996</v>
      </c>
      <c r="K506" s="182">
        <f>SUMIFS(Table1[Horas efetivas],Table1[Tabela],Plano_V3!E506,Table1[Campo],Plano_V3!F506)</f>
        <v>1.0249999999999999</v>
      </c>
      <c r="L506" s="182">
        <f t="shared" si="72"/>
        <v>0.12812499999999999</v>
      </c>
      <c r="M506" s="184"/>
      <c r="N506" s="184">
        <f t="shared" si="73"/>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4"/>
        <v>lt002_instrumentmthd_usd_instrmnt_scp_3</v>
      </c>
      <c r="B507" s="68" t="s">
        <v>26</v>
      </c>
      <c r="C507" s="69" t="s">
        <v>26</v>
      </c>
      <c r="D507" s="65" t="s">
        <v>40</v>
      </c>
      <c r="E507" s="71" t="s">
        <v>380</v>
      </c>
      <c r="F507" s="72" t="s">
        <v>388</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1"/>
        <v>0.51249999999999996</v>
      </c>
      <c r="K507" s="182">
        <f>SUMIFS(Table1[Horas efetivas],Table1[Tabela],Plano_V3!E507,Table1[Campo],Plano_V3!F507)</f>
        <v>1.0249999999999999</v>
      </c>
      <c r="L507" s="182">
        <f t="shared" si="72"/>
        <v>0.12812499999999999</v>
      </c>
      <c r="M507" s="184"/>
      <c r="N507" s="184">
        <f t="shared" si="73"/>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4"/>
        <v>lt825_mthd_usd_instrmntambito</v>
      </c>
      <c r="B509" s="68" t="s">
        <v>26</v>
      </c>
      <c r="C509" s="69" t="s">
        <v>26</v>
      </c>
      <c r="D509" s="65" t="s">
        <v>40</v>
      </c>
      <c r="E509" s="71" t="s">
        <v>390</v>
      </c>
      <c r="F509" s="73" t="s">
        <v>391</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1"/>
        <v>0.51249999999999996</v>
      </c>
      <c r="K509" s="182">
        <f>SUMIFS(Table1[Horas efetivas],Table1[Tabela],Plano_V3!E509,Table1[Campo],Plano_V3!F509)</f>
        <v>1.0249999999999999</v>
      </c>
      <c r="L509" s="182">
        <f t="shared" si="72"/>
        <v>0.12812499999999999</v>
      </c>
      <c r="M509" s="184"/>
      <c r="N509" s="184">
        <f t="shared" si="73"/>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4"/>
        <v>lt825_mthd_usd_instrmntref_date</v>
      </c>
      <c r="B510" s="68" t="s">
        <v>26</v>
      </c>
      <c r="C510" s="69" t="s">
        <v>26</v>
      </c>
      <c r="D510" s="65" t="s">
        <v>40</v>
      </c>
      <c r="E510" s="71" t="s">
        <v>390</v>
      </c>
      <c r="F510" s="73" t="s">
        <v>208</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1"/>
        <v>0.51249999999999996</v>
      </c>
      <c r="K510" s="182">
        <f>SUMIFS(Table1[Horas efetivas],Table1[Tabela],Plano_V3!E510,Table1[Campo],Plano_V3!F510)</f>
        <v>1.0249999999999999</v>
      </c>
      <c r="L510" s="182">
        <f t="shared" si="72"/>
        <v>0.12812499999999999</v>
      </c>
      <c r="M510" s="184"/>
      <c r="N510" s="184">
        <f t="shared" si="73"/>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4"/>
        <v>lt825_mthd_usd_instrmntordem</v>
      </c>
      <c r="B511" s="68" t="s">
        <v>26</v>
      </c>
      <c r="C511" s="69" t="s">
        <v>26</v>
      </c>
      <c r="D511" s="65" t="s">
        <v>40</v>
      </c>
      <c r="E511" s="71" t="s">
        <v>390</v>
      </c>
      <c r="F511" s="73" t="s">
        <v>211</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1"/>
        <v>0.51249999999999996</v>
      </c>
      <c r="K511" s="182">
        <f>SUMIFS(Table1[Horas efetivas],Table1[Tabela],Plano_V3!E511,Table1[Campo],Plano_V3!F511)</f>
        <v>1.0249999999999999</v>
      </c>
      <c r="L511" s="182">
        <f t="shared" si="72"/>
        <v>0.12812499999999999</v>
      </c>
      <c r="M511" s="184"/>
      <c r="N511" s="184">
        <f t="shared" si="73"/>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4"/>
        <v>lt825_mthd_usd_instrmnttabela</v>
      </c>
      <c r="B512" s="68" t="s">
        <v>26</v>
      </c>
      <c r="C512" s="69" t="s">
        <v>26</v>
      </c>
      <c r="D512" s="65" t="s">
        <v>40</v>
      </c>
      <c r="E512" s="71" t="s">
        <v>390</v>
      </c>
      <c r="F512" s="73" t="s">
        <v>392</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1"/>
        <v>0.51249999999999996</v>
      </c>
      <c r="K512" s="182">
        <f>SUMIFS(Table1[Horas efetivas],Table1[Tabela],Plano_V3!E512,Table1[Campo],Plano_V3!F512)</f>
        <v>1.0249999999999999</v>
      </c>
      <c r="L512" s="182">
        <f t="shared" si="72"/>
        <v>0.12812499999999999</v>
      </c>
      <c r="M512" s="184"/>
      <c r="N512" s="184">
        <f t="shared" si="73"/>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4"/>
        <v>lt825_mthd_usd_instrmntorigem_scp1_emss</v>
      </c>
      <c r="B513" s="68" t="s">
        <v>26</v>
      </c>
      <c r="C513" s="69" t="s">
        <v>26</v>
      </c>
      <c r="D513" s="65" t="s">
        <v>40</v>
      </c>
      <c r="E513" s="71" t="s">
        <v>390</v>
      </c>
      <c r="F513" s="72" t="s">
        <v>320</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1"/>
        <v>0.51249999999999996</v>
      </c>
      <c r="K513" s="182">
        <f>SUMIFS(Table1[Horas efetivas],Table1[Tabela],Plano_V3!E513,Table1[Campo],Plano_V3!F513)</f>
        <v>1.0249999999999999</v>
      </c>
      <c r="L513" s="182">
        <f t="shared" si="72"/>
        <v>0.12812499999999999</v>
      </c>
      <c r="M513" s="184"/>
      <c r="N513" s="184">
        <f t="shared" si="73"/>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4"/>
        <v>lt825_mthd_usd_instrmntorigem_scp2_emss</v>
      </c>
      <c r="B514" s="68" t="s">
        <v>26</v>
      </c>
      <c r="C514" s="69" t="s">
        <v>26</v>
      </c>
      <c r="D514" s="65" t="s">
        <v>40</v>
      </c>
      <c r="E514" s="71" t="s">
        <v>390</v>
      </c>
      <c r="F514" s="72" t="s">
        <v>321</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1"/>
        <v>0.51249999999999996</v>
      </c>
      <c r="K514" s="182">
        <f>SUMIFS(Table1[Horas efetivas],Table1[Tabela],Plano_V3!E514,Table1[Campo],Plano_V3!F514)</f>
        <v>1.0249999999999999</v>
      </c>
      <c r="L514" s="182">
        <f t="shared" si="72"/>
        <v>0.12812499999999999</v>
      </c>
      <c r="M514" s="184"/>
      <c r="N514" s="184">
        <f t="shared" si="73"/>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4"/>
        <v>lt825_mthd_usd_instrmntorigem_scp3_emss</v>
      </c>
      <c r="B515" s="68" t="s">
        <v>26</v>
      </c>
      <c r="C515" s="69" t="s">
        <v>26</v>
      </c>
      <c r="D515" s="65" t="s">
        <v>40</v>
      </c>
      <c r="E515" s="71" t="s">
        <v>390</v>
      </c>
      <c r="F515" s="72" t="s">
        <v>322</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1"/>
        <v>0.51249999999999996</v>
      </c>
      <c r="K515" s="182">
        <f>SUMIFS(Table1[Horas efetivas],Table1[Tabela],Plano_V3!E515,Table1[Campo],Plano_V3!F515)</f>
        <v>1.0249999999999999</v>
      </c>
      <c r="L515" s="182">
        <f t="shared" si="72"/>
        <v>0.12812499999999999</v>
      </c>
      <c r="M515" s="184"/>
      <c r="N515" s="184">
        <f t="shared" si="73"/>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4"/>
        <v>lt825_mthd_usd_instrmntmthd_usd_instrmnt_scp_1</v>
      </c>
      <c r="B516" s="68" t="s">
        <v>26</v>
      </c>
      <c r="C516" s="69" t="s">
        <v>26</v>
      </c>
      <c r="D516" s="65" t="s">
        <v>40</v>
      </c>
      <c r="E516" s="71" t="s">
        <v>390</v>
      </c>
      <c r="F516" s="72" t="s">
        <v>386</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1"/>
        <v>0.51249999999999996</v>
      </c>
      <c r="K516" s="182">
        <f>SUMIFS(Table1[Horas efetivas],Table1[Tabela],Plano_V3!E516,Table1[Campo],Plano_V3!F516)</f>
        <v>1.0249999999999999</v>
      </c>
      <c r="L516" s="182">
        <f t="shared" si="72"/>
        <v>0.12812499999999999</v>
      </c>
      <c r="M516" s="184"/>
      <c r="N516" s="184">
        <f t="shared" si="73"/>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4"/>
        <v>lt825_mthd_usd_instrmntmthd_usd_instrmnt_scp_2</v>
      </c>
      <c r="B517" s="68" t="s">
        <v>26</v>
      </c>
      <c r="C517" s="69" t="s">
        <v>26</v>
      </c>
      <c r="D517" s="65" t="s">
        <v>40</v>
      </c>
      <c r="E517" s="71" t="s">
        <v>390</v>
      </c>
      <c r="F517" s="72" t="s">
        <v>387</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1"/>
        <v>0.51249999999999996</v>
      </c>
      <c r="K517" s="182">
        <f>SUMIFS(Table1[Horas efetivas],Table1[Tabela],Plano_V3!E517,Table1[Campo],Plano_V3!F517)</f>
        <v>1.0249999999999999</v>
      </c>
      <c r="L517" s="182">
        <f t="shared" si="72"/>
        <v>0.12812499999999999</v>
      </c>
      <c r="M517" s="184"/>
      <c r="N517" s="184">
        <f t="shared" si="73"/>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4"/>
        <v>lt825_mthd_usd_instrmntmthd_usd_instrmnt_scp_3</v>
      </c>
      <c r="B518" s="68" t="s">
        <v>26</v>
      </c>
      <c r="C518" s="69" t="s">
        <v>26</v>
      </c>
      <c r="D518" s="65" t="s">
        <v>40</v>
      </c>
      <c r="E518" s="71" t="s">
        <v>390</v>
      </c>
      <c r="F518" s="72" t="s">
        <v>388</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1"/>
        <v>0.51249999999999996</v>
      </c>
      <c r="K518" s="182">
        <f>SUMIFS(Table1[Horas efetivas],Table1[Tabela],Plano_V3!E518,Table1[Campo],Plano_V3!F518)</f>
        <v>1.0249999999999999</v>
      </c>
      <c r="L518" s="182">
        <f t="shared" si="72"/>
        <v>0.12812499999999999</v>
      </c>
      <c r="M518" s="184"/>
      <c r="N518" s="184">
        <f t="shared" si="73"/>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4"/>
        <v>lt826_esg_sbsctrambito</v>
      </c>
      <c r="B519" s="68" t="s">
        <v>26</v>
      </c>
      <c r="C519" s="69" t="s">
        <v>26</v>
      </c>
      <c r="D519" s="65" t="s">
        <v>40</v>
      </c>
      <c r="E519" s="71" t="s">
        <v>393</v>
      </c>
      <c r="F519" s="73" t="s">
        <v>391</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1"/>
        <v>0.51249999999999996</v>
      </c>
      <c r="K519" s="182">
        <f>SUMIFS(Table1[Horas efetivas],Table1[Tabela],Plano_V3!E519,Table1[Campo],Plano_V3!F519)</f>
        <v>4.0999999999999996</v>
      </c>
      <c r="L519" s="182">
        <f t="shared" si="72"/>
        <v>0.51249999999999996</v>
      </c>
      <c r="M519" s="184"/>
      <c r="N519" s="184">
        <f t="shared" si="73"/>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4"/>
        <v>lt826_esg_sbsctrref_date</v>
      </c>
      <c r="B520" s="68" t="s">
        <v>26</v>
      </c>
      <c r="C520" s="69" t="s">
        <v>26</v>
      </c>
      <c r="D520" s="65" t="s">
        <v>40</v>
      </c>
      <c r="E520" s="71" t="s">
        <v>393</v>
      </c>
      <c r="F520" s="73" t="s">
        <v>208</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83" si="75">I520/8</f>
        <v>0.51249999999999996</v>
      </c>
      <c r="K520" s="182">
        <f>SUMIFS(Table1[Horas efetivas],Table1[Tabela],Plano_V3!E520,Table1[Campo],Plano_V3!F520)</f>
        <v>4.0999999999999996</v>
      </c>
      <c r="L520" s="182">
        <f t="shared" ref="L520:L583" si="76">K520/8</f>
        <v>0.51249999999999996</v>
      </c>
      <c r="M520" s="184"/>
      <c r="N520" s="184">
        <f t="shared" ref="N520:N586" si="77">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4"/>
        <v>lt826_esg_sbsctrordem</v>
      </c>
      <c r="B521" s="68" t="s">
        <v>26</v>
      </c>
      <c r="C521" s="69" t="s">
        <v>26</v>
      </c>
      <c r="D521" s="65" t="s">
        <v>40</v>
      </c>
      <c r="E521" s="71" t="s">
        <v>393</v>
      </c>
      <c r="F521" s="73" t="s">
        <v>211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5"/>
        <v>0.51249999999999996</v>
      </c>
      <c r="K521" s="182">
        <f>SUMIFS(Table1[Horas efetivas],Table1[Tabela],Plano_V3!E521,Table1[Campo],Plano_V3!F521)</f>
        <v>4.0999999999999996</v>
      </c>
      <c r="L521" s="182">
        <f t="shared" si="76"/>
        <v>0.51249999999999996</v>
      </c>
      <c r="M521" s="184"/>
      <c r="N521" s="184">
        <f t="shared" si="77"/>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4"/>
        <v>lt826_esg_sbsctrnace_code</v>
      </c>
      <c r="B522" s="68" t="s">
        <v>26</v>
      </c>
      <c r="C522" s="69" t="s">
        <v>26</v>
      </c>
      <c r="D522" s="65" t="s">
        <v>40</v>
      </c>
      <c r="E522" s="71" t="s">
        <v>393</v>
      </c>
      <c r="F522" s="72" t="s">
        <v>394</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5"/>
        <v>0.51249999999999996</v>
      </c>
      <c r="K522" s="182">
        <f>SUMIFS(Table1[Horas efetivas],Table1[Tabela],Plano_V3!E522,Table1[Campo],Plano_V3!F522)</f>
        <v>4.0999999999999996</v>
      </c>
      <c r="L522" s="182">
        <f t="shared" si="76"/>
        <v>0.51249999999999996</v>
      </c>
      <c r="M522" s="184"/>
      <c r="N522" s="184">
        <f t="shared" si="77"/>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4"/>
        <v>lt826_esg_sbsctrcontraparte</v>
      </c>
      <c r="B523" s="68" t="s">
        <v>26</v>
      </c>
      <c r="C523" s="69" t="s">
        <v>26</v>
      </c>
      <c r="D523" s="65" t="s">
        <v>40</v>
      </c>
      <c r="E523" s="71" t="s">
        <v>393</v>
      </c>
      <c r="F523" s="72" t="s">
        <v>395</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5"/>
        <v>0.51249999999999996</v>
      </c>
      <c r="K523" s="182">
        <f>SUMIFS(Table1[Horas efetivas],Table1[Tabela],Plano_V3!E523,Table1[Campo],Plano_V3!F523)</f>
        <v>4.0999999999999996</v>
      </c>
      <c r="L523" s="182">
        <f t="shared" si="76"/>
        <v>0.51249999999999996</v>
      </c>
      <c r="M523" s="184"/>
      <c r="N523" s="184">
        <f t="shared" si="77"/>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4"/>
        <v>lt826_esg_sbsctrcnatureza_juri</v>
      </c>
      <c r="B524" s="68" t="s">
        <v>26</v>
      </c>
      <c r="C524" s="69" t="s">
        <v>26</v>
      </c>
      <c r="D524" s="65" t="s">
        <v>40</v>
      </c>
      <c r="E524" s="71" t="s">
        <v>393</v>
      </c>
      <c r="F524" s="72" t="s">
        <v>396</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5"/>
        <v>0.51249999999999996</v>
      </c>
      <c r="K524" s="182">
        <f>SUMIFS(Table1[Horas efetivas],Table1[Tabela],Plano_V3!E524,Table1[Campo],Plano_V3!F524)</f>
        <v>4.0999999999999996</v>
      </c>
      <c r="L524" s="182">
        <f t="shared" si="76"/>
        <v>0.51249999999999996</v>
      </c>
      <c r="M524" s="184"/>
      <c r="N524" s="184">
        <f t="shared" si="77"/>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4"/>
        <v>lt826_esg_sbsctridcomb</v>
      </c>
      <c r="B525" s="68" t="s">
        <v>26</v>
      </c>
      <c r="C525" s="69" t="s">
        <v>26</v>
      </c>
      <c r="D525" s="65" t="s">
        <v>40</v>
      </c>
      <c r="E525" s="71" t="s">
        <v>393</v>
      </c>
      <c r="F525" s="72" t="s">
        <v>397</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5"/>
        <v>0.51249999999999996</v>
      </c>
      <c r="K525" s="182">
        <f>SUMIFS(Table1[Horas efetivas],Table1[Tabela],Plano_V3!E525,Table1[Campo],Plano_V3!F525)</f>
        <v>4.0999999999999996</v>
      </c>
      <c r="L525" s="182">
        <f t="shared" si="76"/>
        <v>0.51249999999999996</v>
      </c>
      <c r="M525" s="184"/>
      <c r="N525" s="184">
        <f t="shared" si="77"/>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4"/>
        <v>lt826_esg_sbsctresg_sbsctr</v>
      </c>
      <c r="B526" s="68" t="s">
        <v>26</v>
      </c>
      <c r="C526" s="69" t="s">
        <v>26</v>
      </c>
      <c r="D526" s="65" t="s">
        <v>40</v>
      </c>
      <c r="E526" s="71" t="s">
        <v>393</v>
      </c>
      <c r="F526" s="72" t="s">
        <v>361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5"/>
        <v>0.51249999999999996</v>
      </c>
      <c r="K526" s="182">
        <f>SUMIFS(Table1[Horas efetivas],Table1[Tabela],Plano_V3!E526,Table1[Campo],Plano_V3!F526)</f>
        <v>4.0999999999999996</v>
      </c>
      <c r="L526" s="182">
        <f t="shared" si="76"/>
        <v>0.51249999999999996</v>
      </c>
      <c r="M526" s="184"/>
      <c r="N526" s="184">
        <f t="shared" si="77"/>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4"/>
        <v>lt826_esg_sbsctrdescrição</v>
      </c>
      <c r="B527" s="68" t="s">
        <v>26</v>
      </c>
      <c r="C527" s="69" t="s">
        <v>26</v>
      </c>
      <c r="D527" s="65" t="s">
        <v>40</v>
      </c>
      <c r="E527" s="71" t="s">
        <v>393</v>
      </c>
      <c r="F527" s="72" t="s">
        <v>398</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5"/>
        <v>0.51249999999999996</v>
      </c>
      <c r="K527" s="182">
        <f>SUMIFS(Table1[Horas efetivas],Table1[Tabela],Plano_V3!E527,Table1[Campo],Plano_V3!F527)</f>
        <v>4.0999999999999996</v>
      </c>
      <c r="L527" s="182">
        <f t="shared" si="76"/>
        <v>0.51249999999999996</v>
      </c>
      <c r="M527" s="184"/>
      <c r="N527" s="184">
        <f t="shared" si="77"/>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4"/>
        <v>lt002_instrumentdt_rfrnc</v>
      </c>
      <c r="B528" s="68" t="s">
        <v>26</v>
      </c>
      <c r="C528" s="69" t="s">
        <v>26</v>
      </c>
      <c r="D528" s="65" t="s">
        <v>40</v>
      </c>
      <c r="E528" s="71" t="s">
        <v>380</v>
      </c>
      <c r="F528" s="72" t="s">
        <v>399</v>
      </c>
      <c r="G528" s="65" t="str">
        <f>INDEX(Auxiliar!$B$16:$B$24,MATCH(Plano_V3!H528,Auxiliar!$C$16:$C$24,0),1)</f>
        <v>1. Concluído</v>
      </c>
      <c r="H528" s="65">
        <f>VLOOKUP(A528,'Aux - pivots1'!$A:$B,2,0)</f>
        <v>1</v>
      </c>
      <c r="I528" s="182">
        <f>SUMIFS(Table1[Estimação (horas)],Table1[Tabela],Plano_V3!E528,Table1[Campo],Plano_V3!F528)</f>
        <v>0.1</v>
      </c>
      <c r="J528" s="182">
        <f t="shared" si="75"/>
        <v>1.2500000000000001E-2</v>
      </c>
      <c r="K528" s="182">
        <f>SUMIFS(Table1[Horas efetivas],Table1[Tabela],Plano_V3!E528,Table1[Campo],Plano_V3!F528)</f>
        <v>0.1</v>
      </c>
      <c r="L528" s="182">
        <f t="shared" si="76"/>
        <v>1.2500000000000001E-2</v>
      </c>
      <c r="M528" s="184"/>
      <c r="N528" s="184">
        <f t="shared" si="77"/>
        <v>1</v>
      </c>
      <c r="O528" s="184"/>
      <c r="P528" s="90" t="s">
        <v>400</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4"/>
        <v>lt002_instrumentinstrmnt_id</v>
      </c>
      <c r="B529" s="68" t="s">
        <v>26</v>
      </c>
      <c r="C529" s="69" t="s">
        <v>26</v>
      </c>
      <c r="D529" s="65" t="s">
        <v>40</v>
      </c>
      <c r="E529" s="71" t="s">
        <v>380</v>
      </c>
      <c r="F529" s="72" t="s">
        <v>401</v>
      </c>
      <c r="G529" s="65" t="str">
        <f>INDEX(Auxiliar!$B$16:$B$24,MATCH(Plano_V3!H529,Auxiliar!$C$16:$C$24,0),1)</f>
        <v>1. Concluído</v>
      </c>
      <c r="H529" s="65">
        <f>VLOOKUP(A529,'Aux - pivots1'!$A:$B,2,0)</f>
        <v>1</v>
      </c>
      <c r="I529" s="182">
        <f>SUMIFS(Table1[Estimação (horas)],Table1[Tabela],Plano_V3!E529,Table1[Campo],Plano_V3!F529)</f>
        <v>0.1</v>
      </c>
      <c r="J529" s="182">
        <f t="shared" si="75"/>
        <v>1.2500000000000001E-2</v>
      </c>
      <c r="K529" s="182">
        <f>SUMIFS(Table1[Horas efetivas],Table1[Tabela],Plano_V3!E529,Table1[Campo],Plano_V3!F529)</f>
        <v>0.1</v>
      </c>
      <c r="L529" s="182">
        <f t="shared" si="76"/>
        <v>1.2500000000000001E-2</v>
      </c>
      <c r="M529" s="184"/>
      <c r="N529" s="184">
        <f t="shared" si="77"/>
        <v>1</v>
      </c>
      <c r="O529" s="184"/>
      <c r="P529" s="90" t="s">
        <v>400</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4"/>
        <v>lt002_instrumentdt_incptn</v>
      </c>
      <c r="B530" s="68" t="s">
        <v>26</v>
      </c>
      <c r="C530" s="69" t="s">
        <v>26</v>
      </c>
      <c r="D530" s="65" t="s">
        <v>40</v>
      </c>
      <c r="E530" s="71" t="s">
        <v>380</v>
      </c>
      <c r="F530" s="72" t="s">
        <v>402</v>
      </c>
      <c r="G530" s="65" t="str">
        <f>INDEX(Auxiliar!$B$16:$B$24,MATCH(Plano_V3!H530,Auxiliar!$C$16:$C$24,0),1)</f>
        <v>1. Concluído</v>
      </c>
      <c r="H530" s="65">
        <f>VLOOKUP(A530,'Aux - pivots1'!$A:$B,2,0)</f>
        <v>1</v>
      </c>
      <c r="I530" s="182">
        <f>SUMIFS(Table1[Estimação (horas)],Table1[Tabela],Plano_V3!E530,Table1[Campo],Plano_V3!F530)</f>
        <v>0.1</v>
      </c>
      <c r="J530" s="182">
        <f t="shared" si="75"/>
        <v>1.2500000000000001E-2</v>
      </c>
      <c r="K530" s="182">
        <f>SUMIFS(Table1[Horas efetivas],Table1[Tabela],Plano_V3!E530,Table1[Campo],Plano_V3!F530)</f>
        <v>0.1</v>
      </c>
      <c r="L530" s="182">
        <f t="shared" si="76"/>
        <v>1.2500000000000001E-2</v>
      </c>
      <c r="M530" s="184"/>
      <c r="N530" s="184">
        <f t="shared" si="77"/>
        <v>1</v>
      </c>
      <c r="O530" s="184"/>
      <c r="P530" s="90" t="s">
        <v>400</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4"/>
        <v>lt002_instrumentdflt_stts_instrmnt</v>
      </c>
      <c r="B531" s="68" t="s">
        <v>26</v>
      </c>
      <c r="C531" s="69" t="s">
        <v>26</v>
      </c>
      <c r="D531" s="65" t="s">
        <v>40</v>
      </c>
      <c r="E531" s="71" t="s">
        <v>380</v>
      </c>
      <c r="F531" s="72" t="s">
        <v>403</v>
      </c>
      <c r="G531" s="65" t="str">
        <f>INDEX(Auxiliar!$B$16:$B$24,MATCH(Plano_V3!H531,Auxiliar!$C$16:$C$24,0),1)</f>
        <v>1. Concluído</v>
      </c>
      <c r="H531" s="65">
        <f>VLOOKUP(A531,'Aux - pivots1'!$A:$B,2,0)</f>
        <v>1</v>
      </c>
      <c r="I531" s="182">
        <f>SUMIFS(Table1[Estimação (horas)],Table1[Tabela],Plano_V3!E531,Table1[Campo],Plano_V3!F531)</f>
        <v>0.1</v>
      </c>
      <c r="J531" s="182">
        <f t="shared" si="75"/>
        <v>1.2500000000000001E-2</v>
      </c>
      <c r="K531" s="182">
        <f>SUMIFS(Table1[Horas efetivas],Table1[Tabela],Plano_V3!E531,Table1[Campo],Plano_V3!F531)</f>
        <v>0.1</v>
      </c>
      <c r="L531" s="182">
        <f t="shared" si="76"/>
        <v>1.2500000000000001E-2</v>
      </c>
      <c r="M531" s="184"/>
      <c r="N531" s="184">
        <f t="shared" si="77"/>
        <v>1</v>
      </c>
      <c r="O531" s="184"/>
      <c r="P531" s="90" t="s">
        <v>400</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4"/>
        <v>lt002_instrumentimprmnt_stts</v>
      </c>
      <c r="B532" s="68" t="s">
        <v>26</v>
      </c>
      <c r="C532" s="69" t="s">
        <v>26</v>
      </c>
      <c r="D532" s="65" t="s">
        <v>40</v>
      </c>
      <c r="E532" s="71" t="s">
        <v>380</v>
      </c>
      <c r="F532" s="72" t="s">
        <v>404</v>
      </c>
      <c r="G532" s="65" t="str">
        <f>INDEX(Auxiliar!$B$16:$B$24,MATCH(Plano_V3!H532,Auxiliar!$C$16:$C$24,0),1)</f>
        <v>1. Concluído</v>
      </c>
      <c r="H532" s="65">
        <f>VLOOKUP(A532,'Aux - pivots1'!$A:$B,2,0)</f>
        <v>1</v>
      </c>
      <c r="I532" s="182">
        <f>SUMIFS(Table1[Estimação (horas)],Table1[Tabela],Plano_V3!E532,Table1[Campo],Plano_V3!F532)</f>
        <v>0.1</v>
      </c>
      <c r="J532" s="182">
        <f t="shared" si="75"/>
        <v>1.2500000000000001E-2</v>
      </c>
      <c r="K532" s="182">
        <f>SUMIFS(Table1[Horas efetivas],Table1[Tabela],Plano_V3!E532,Table1[Campo],Plano_V3!F532)</f>
        <v>0.1</v>
      </c>
      <c r="L532" s="182">
        <f t="shared" si="76"/>
        <v>1.2500000000000001E-2</v>
      </c>
      <c r="M532" s="184"/>
      <c r="N532" s="184">
        <f t="shared" si="77"/>
        <v>1</v>
      </c>
      <c r="O532" s="184"/>
      <c r="P532" s="90" t="s">
        <v>400</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4"/>
        <v>lt002_instrumentprfrmng_stts</v>
      </c>
      <c r="B533" s="68" t="s">
        <v>26</v>
      </c>
      <c r="C533" s="69" t="s">
        <v>26</v>
      </c>
      <c r="D533" s="65" t="s">
        <v>40</v>
      </c>
      <c r="E533" s="71" t="s">
        <v>380</v>
      </c>
      <c r="F533" s="72" t="s">
        <v>405</v>
      </c>
      <c r="G533" s="65" t="str">
        <f>INDEX(Auxiliar!$B$16:$B$24,MATCH(Plano_V3!H533,Auxiliar!$C$16:$C$24,0),1)</f>
        <v>1. Concluído</v>
      </c>
      <c r="H533" s="65">
        <f>VLOOKUP(A533,'Aux - pivots1'!$A:$B,2,0)</f>
        <v>1</v>
      </c>
      <c r="I533" s="182">
        <f>SUMIFS(Table1[Estimação (horas)],Table1[Tabela],Plano_V3!E533,Table1[Campo],Plano_V3!F533)</f>
        <v>0.1</v>
      </c>
      <c r="J533" s="182">
        <f t="shared" si="75"/>
        <v>1.2500000000000001E-2</v>
      </c>
      <c r="K533" s="182">
        <f>SUMIFS(Table1[Horas efetivas],Table1[Tabela],Plano_V3!E533,Table1[Campo],Plano_V3!F533)</f>
        <v>0.1</v>
      </c>
      <c r="L533" s="182">
        <f t="shared" si="76"/>
        <v>1.2500000000000001E-2</v>
      </c>
      <c r="M533" s="184"/>
      <c r="N533" s="184">
        <f t="shared" si="77"/>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4"/>
        <v>lt002_instrumentprjct_fnnc_ln</v>
      </c>
      <c r="B534" s="68" t="s">
        <v>26</v>
      </c>
      <c r="C534" s="69" t="s">
        <v>26</v>
      </c>
      <c r="D534" s="65" t="s">
        <v>40</v>
      </c>
      <c r="E534" s="71" t="s">
        <v>380</v>
      </c>
      <c r="F534" s="72" t="s">
        <v>406</v>
      </c>
      <c r="G534" s="65" t="str">
        <f>INDEX(Auxiliar!$B$16:$B$24,MATCH(Plano_V3!H534,Auxiliar!$C$16:$C$24,0),1)</f>
        <v>1. Concluído</v>
      </c>
      <c r="H534" s="65">
        <f>VLOOKUP(A534,'Aux - pivots1'!$A:$B,2,0)</f>
        <v>1</v>
      </c>
      <c r="I534" s="182">
        <f>SUMIFS(Table1[Estimação (horas)],Table1[Tabela],Plano_V3!E534,Table1[Campo],Plano_V3!F534)</f>
        <v>0.1</v>
      </c>
      <c r="J534" s="182">
        <f t="shared" si="75"/>
        <v>1.2500000000000001E-2</v>
      </c>
      <c r="K534" s="182">
        <f>SUMIFS(Table1[Horas efetivas],Table1[Tabela],Plano_V3!E534,Table1[Campo],Plano_V3!F534)</f>
        <v>0.1</v>
      </c>
      <c r="L534" s="182">
        <f t="shared" si="76"/>
        <v>1.2500000000000001E-2</v>
      </c>
      <c r="M534" s="184"/>
      <c r="N534" s="184">
        <f t="shared" si="77"/>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4"/>
        <v>lt002_instrumenttyp_instrmnt</v>
      </c>
      <c r="B535" s="68" t="s">
        <v>26</v>
      </c>
      <c r="C535" s="69" t="s">
        <v>26</v>
      </c>
      <c r="D535" s="65" t="s">
        <v>40</v>
      </c>
      <c r="E535" s="71" t="s">
        <v>380</v>
      </c>
      <c r="F535" s="72" t="s">
        <v>407</v>
      </c>
      <c r="G535" s="65" t="str">
        <f>INDEX(Auxiliar!$B$16:$B$24,MATCH(Plano_V3!H535,Auxiliar!$C$16:$C$24,0),1)</f>
        <v>1. Concluído</v>
      </c>
      <c r="H535" s="65">
        <f>VLOOKUP(A535,'Aux - pivots1'!$A:$B,2,0)</f>
        <v>1</v>
      </c>
      <c r="I535" s="182">
        <f>SUMIFS(Table1[Estimação (horas)],Table1[Tabela],Plano_V3!E535,Table1[Campo],Plano_V3!F535)</f>
        <v>0.1</v>
      </c>
      <c r="J535" s="182">
        <f t="shared" si="75"/>
        <v>1.2500000000000001E-2</v>
      </c>
      <c r="K535" s="182">
        <f>SUMIFS(Table1[Horas efetivas],Table1[Tabela],Plano_V3!E535,Table1[Campo],Plano_V3!F535)</f>
        <v>0.1</v>
      </c>
      <c r="L535" s="182">
        <f t="shared" si="76"/>
        <v>1.2500000000000001E-2</v>
      </c>
      <c r="M535" s="184"/>
      <c r="N535" s="184">
        <f t="shared" si="77"/>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4"/>
        <v>lt002_instrumentgrss_crryng_amnt_instrmnt</v>
      </c>
      <c r="B536" s="68" t="s">
        <v>26</v>
      </c>
      <c r="C536" s="69" t="s">
        <v>26</v>
      </c>
      <c r="D536" s="65" t="s">
        <v>40</v>
      </c>
      <c r="E536" s="71" t="s">
        <v>380</v>
      </c>
      <c r="F536" s="72" t="s">
        <v>408</v>
      </c>
      <c r="G536" s="65" t="str">
        <f>INDEX(Auxiliar!$B$16:$B$24,MATCH(Plano_V3!H536,Auxiliar!$C$16:$C$24,0),1)</f>
        <v>1. Concluído</v>
      </c>
      <c r="H536" s="65">
        <f>VLOOKUP(A536,'Aux - pivots1'!$A:$B,2,0)</f>
        <v>1</v>
      </c>
      <c r="I536" s="182">
        <f>SUMIFS(Table1[Estimação (horas)],Table1[Tabela],Plano_V3!E536,Table1[Campo],Plano_V3!F536)</f>
        <v>0.1</v>
      </c>
      <c r="J536" s="182">
        <f t="shared" si="75"/>
        <v>1.2500000000000001E-2</v>
      </c>
      <c r="K536" s="182">
        <f>SUMIFS(Table1[Horas efetivas],Table1[Tabela],Plano_V3!E536,Table1[Campo],Plano_V3!F536)</f>
        <v>0.1</v>
      </c>
      <c r="L536" s="182">
        <f t="shared" si="76"/>
        <v>1.2500000000000001E-2</v>
      </c>
      <c r="M536" s="184"/>
      <c r="N536" s="184">
        <f t="shared" si="77"/>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4"/>
        <v>lt002_instrumentaccmltd_chngs_fv_cr_instrmnt</v>
      </c>
      <c r="B537" s="68" t="s">
        <v>26</v>
      </c>
      <c r="C537" s="69" t="s">
        <v>26</v>
      </c>
      <c r="D537" s="65" t="s">
        <v>40</v>
      </c>
      <c r="E537" s="71" t="s">
        <v>380</v>
      </c>
      <c r="F537" s="72" t="s">
        <v>409</v>
      </c>
      <c r="G537" s="65" t="str">
        <f>INDEX(Auxiliar!$B$16:$B$24,MATCH(Plano_V3!H537,Auxiliar!$C$16:$C$24,0),1)</f>
        <v>1. Concluído</v>
      </c>
      <c r="H537" s="65">
        <f>VLOOKUP(A537,'Aux - pivots1'!$A:$B,2,0)</f>
        <v>1</v>
      </c>
      <c r="I537" s="182">
        <f>SUMIFS(Table1[Estimação (horas)],Table1[Tabela],Plano_V3!E537,Table1[Campo],Plano_V3!F537)</f>
        <v>0.1</v>
      </c>
      <c r="J537" s="182">
        <f t="shared" si="75"/>
        <v>1.2500000000000001E-2</v>
      </c>
      <c r="K537" s="182">
        <f>SUMIFS(Table1[Horas efetivas],Table1[Tabela],Plano_V3!E537,Table1[Campo],Plano_V3!F537)</f>
        <v>0.1</v>
      </c>
      <c r="L537" s="182">
        <f t="shared" si="76"/>
        <v>1.2500000000000001E-2</v>
      </c>
      <c r="M537" s="184"/>
      <c r="N537" s="184">
        <f t="shared" si="77"/>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4"/>
        <v>lt002_instrumentaccntng_clssfctn</v>
      </c>
      <c r="B538" s="68" t="s">
        <v>26</v>
      </c>
      <c r="C538" s="69" t="s">
        <v>26</v>
      </c>
      <c r="D538" s="65" t="s">
        <v>40</v>
      </c>
      <c r="E538" s="71" t="s">
        <v>380</v>
      </c>
      <c r="F538" s="72" t="s">
        <v>410</v>
      </c>
      <c r="G538" s="65" t="str">
        <f>INDEX(Auxiliar!$B$16:$B$24,MATCH(Plano_V3!H538,Auxiliar!$C$16:$C$24,0),1)</f>
        <v>1. Concluído</v>
      </c>
      <c r="H538" s="65">
        <f>VLOOKUP(A538,'Aux - pivots1'!$A:$B,2,0)</f>
        <v>1</v>
      </c>
      <c r="I538" s="182">
        <f>SUMIFS(Table1[Estimação (horas)],Table1[Tabela],Plano_V3!E538,Table1[Campo],Plano_V3!F538)</f>
        <v>0.1</v>
      </c>
      <c r="J538" s="182">
        <f t="shared" si="75"/>
        <v>1.2500000000000001E-2</v>
      </c>
      <c r="K538" s="182">
        <f>SUMIFS(Table1[Horas efetivas],Table1[Tabela],Plano_V3!E538,Table1[Campo],Plano_V3!F538)</f>
        <v>0.1</v>
      </c>
      <c r="L538" s="182">
        <f t="shared" si="76"/>
        <v>1.2500000000000001E-2</v>
      </c>
      <c r="M538" s="184"/>
      <c r="N538" s="184">
        <f t="shared" si="77"/>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4"/>
        <v>lt002_instrumentdt_lgl_fnl_mtrty</v>
      </c>
      <c r="B539" s="68" t="s">
        <v>26</v>
      </c>
      <c r="C539" s="69" t="s">
        <v>26</v>
      </c>
      <c r="D539" s="65" t="s">
        <v>40</v>
      </c>
      <c r="E539" s="71" t="s">
        <v>380</v>
      </c>
      <c r="F539" s="72" t="s">
        <v>411</v>
      </c>
      <c r="G539" s="65" t="str">
        <f>INDEX(Auxiliar!$B$16:$B$24,MATCH(Plano_V3!H539,Auxiliar!$C$16:$C$24,0),1)</f>
        <v>1. Concluído</v>
      </c>
      <c r="H539" s="65">
        <f>VLOOKUP(A539,'Aux - pivots1'!$A:$B,2,0)</f>
        <v>1</v>
      </c>
      <c r="I539" s="182">
        <f>SUMIFS(Table1[Estimação (horas)],Table1[Tabela],Plano_V3!E539,Table1[Campo],Plano_V3!F539)</f>
        <v>0.1</v>
      </c>
      <c r="J539" s="182">
        <f t="shared" si="75"/>
        <v>1.2500000000000001E-2</v>
      </c>
      <c r="K539" s="182">
        <f>SUMIFS(Table1[Horas efetivas],Table1[Tabela],Plano_V3!E539,Table1[Campo],Plano_V3!F539)</f>
        <v>0.1</v>
      </c>
      <c r="L539" s="182">
        <f t="shared" si="76"/>
        <v>1.2500000000000001E-2</v>
      </c>
      <c r="M539" s="184"/>
      <c r="N539" s="184">
        <f t="shared" si="77"/>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4"/>
        <v>lt002_instrumentaccmltd_imprmnt_instrmnt</v>
      </c>
      <c r="B540" s="68" t="s">
        <v>26</v>
      </c>
      <c r="C540" s="69" t="s">
        <v>26</v>
      </c>
      <c r="D540" s="65" t="s">
        <v>40</v>
      </c>
      <c r="E540" s="71" t="s">
        <v>380</v>
      </c>
      <c r="F540" s="72" t="s">
        <v>412</v>
      </c>
      <c r="G540" s="65" t="str">
        <f>INDEX(Auxiliar!$B$16:$B$24,MATCH(Plano_V3!H540,Auxiliar!$C$16:$C$24,0),1)</f>
        <v>1. Concluído</v>
      </c>
      <c r="H540" s="65">
        <f>VLOOKUP(A540,'Aux - pivots1'!$A:$B,2,0)</f>
        <v>1</v>
      </c>
      <c r="I540" s="182">
        <f>SUMIFS(Table1[Estimação (horas)],Table1[Tabela],Plano_V3!E540,Table1[Campo],Plano_V3!F540)</f>
        <v>0.1</v>
      </c>
      <c r="J540" s="182">
        <f t="shared" si="75"/>
        <v>1.2500000000000001E-2</v>
      </c>
      <c r="K540" s="182">
        <f>SUMIFS(Table1[Horas efetivas],Table1[Tabela],Plano_V3!E540,Table1[Campo],Plano_V3!F540)</f>
        <v>0.1</v>
      </c>
      <c r="L540" s="182">
        <f t="shared" si="76"/>
        <v>1.2500000000000001E-2</v>
      </c>
      <c r="M540" s="184"/>
      <c r="N540" s="184">
        <f t="shared" si="77"/>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4"/>
        <v>lt002_instrumentissr_cntry</v>
      </c>
      <c r="B541" s="68" t="s">
        <v>26</v>
      </c>
      <c r="C541" s="69" t="s">
        <v>26</v>
      </c>
      <c r="D541" s="65" t="s">
        <v>40</v>
      </c>
      <c r="E541" s="71" t="s">
        <v>380</v>
      </c>
      <c r="F541" s="72" t="s">
        <v>413</v>
      </c>
      <c r="G541" s="65" t="str">
        <f>INDEX(Auxiliar!$B$16:$B$24,MATCH(Plano_V3!H541,Auxiliar!$C$16:$C$24,0),1)</f>
        <v>1. Concluído</v>
      </c>
      <c r="H541" s="65">
        <f>VLOOKUP(A541,'Aux - pivots1'!$A:$B,2,0)</f>
        <v>1</v>
      </c>
      <c r="I541" s="182">
        <f>SUMIFS(Table1[Estimação (horas)],Table1[Tabela],Plano_V3!E541,Table1[Campo],Plano_V3!F541)</f>
        <v>0.1</v>
      </c>
      <c r="J541" s="182">
        <f t="shared" si="75"/>
        <v>1.2500000000000001E-2</v>
      </c>
      <c r="K541" s="182">
        <f>SUMIFS(Table1[Horas efetivas],Table1[Tabela],Plano_V3!E541,Table1[Campo],Plano_V3!F541)</f>
        <v>0.1</v>
      </c>
      <c r="L541" s="182">
        <f t="shared" si="76"/>
        <v>1.2500000000000001E-2</v>
      </c>
      <c r="M541" s="184"/>
      <c r="N541" s="184">
        <f t="shared" si="77"/>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4"/>
        <v>lt002_instrumentissr_nace_sctr</v>
      </c>
      <c r="B542" s="68" t="s">
        <v>26</v>
      </c>
      <c r="C542" s="69" t="s">
        <v>26</v>
      </c>
      <c r="D542" s="65" t="s">
        <v>40</v>
      </c>
      <c r="E542" s="71" t="s">
        <v>380</v>
      </c>
      <c r="F542" s="72" t="s">
        <v>414</v>
      </c>
      <c r="G542" s="65" t="str">
        <f>INDEX(Auxiliar!$B$16:$B$24,MATCH(Plano_V3!H542,Auxiliar!$C$16:$C$24,0),1)</f>
        <v>1. Concluído</v>
      </c>
      <c r="H542" s="65">
        <f>VLOOKUP(A542,'Aux - pivots1'!$A:$B,2,0)</f>
        <v>1</v>
      </c>
      <c r="I542" s="182">
        <f>SUMIFS(Table1[Estimação (horas)],Table1[Tabela],Plano_V3!E542,Table1[Campo],Plano_V3!F542)</f>
        <v>0.1</v>
      </c>
      <c r="J542" s="182">
        <f t="shared" si="75"/>
        <v>1.2500000000000001E-2</v>
      </c>
      <c r="K542" s="182">
        <f>SUMIFS(Table1[Horas efetivas],Table1[Tabela],Plano_V3!E542,Table1[Campo],Plano_V3!F542)</f>
        <v>0.1</v>
      </c>
      <c r="L542" s="182">
        <f t="shared" si="76"/>
        <v>1.2500000000000001E-2</v>
      </c>
      <c r="M542" s="184"/>
      <c r="N542" s="184">
        <f t="shared" si="77"/>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4"/>
        <v>lt002_instrumentprmry_asst_clssf</v>
      </c>
      <c r="B543" s="68" t="s">
        <v>26</v>
      </c>
      <c r="C543" s="69" t="s">
        <v>26</v>
      </c>
      <c r="D543" s="65" t="s">
        <v>40</v>
      </c>
      <c r="E543" s="71" t="s">
        <v>380</v>
      </c>
      <c r="F543" s="72" t="s">
        <v>415</v>
      </c>
      <c r="G543" s="65" t="str">
        <f>INDEX(Auxiliar!$B$16:$B$24,MATCH(Plano_V3!H543,Auxiliar!$C$16:$C$24,0),1)</f>
        <v>1. Concluído</v>
      </c>
      <c r="H543" s="65">
        <f>VLOOKUP(A543,'Aux - pivots1'!$A:$B,2,0)</f>
        <v>1</v>
      </c>
      <c r="I543" s="182">
        <f>SUMIFS(Table1[Estimação (horas)],Table1[Tabela],Plano_V3!E543,Table1[Campo],Plano_V3!F543)</f>
        <v>0.1</v>
      </c>
      <c r="J543" s="182">
        <f t="shared" si="75"/>
        <v>1.2500000000000001E-2</v>
      </c>
      <c r="K543" s="182">
        <f>SUMIFS(Table1[Horas efetivas],Table1[Tabela],Plano_V3!E543,Table1[Campo],Plano_V3!F543)</f>
        <v>0.1</v>
      </c>
      <c r="L543" s="182">
        <f t="shared" si="76"/>
        <v>1.2500000000000001E-2</v>
      </c>
      <c r="M543" s="184"/>
      <c r="N543" s="184">
        <f t="shared" si="77"/>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4"/>
        <v>lt002_instrumentsubportfolio_id</v>
      </c>
      <c r="B544" s="68" t="s">
        <v>26</v>
      </c>
      <c r="C544" s="69" t="s">
        <v>26</v>
      </c>
      <c r="D544" s="65" t="s">
        <v>40</v>
      </c>
      <c r="E544" s="71" t="s">
        <v>380</v>
      </c>
      <c r="F544" s="72" t="s">
        <v>416</v>
      </c>
      <c r="G544" s="65" t="str">
        <f>INDEX(Auxiliar!$B$16:$B$24,MATCH(Plano_V3!H544,Auxiliar!$C$16:$C$24,0),1)</f>
        <v>1. Concluído</v>
      </c>
      <c r="H544" s="65">
        <f>VLOOKUP(A544,'Aux - pivots1'!$A:$B,2,0)</f>
        <v>1</v>
      </c>
      <c r="I544" s="182">
        <f>SUMIFS(Table1[Estimação (horas)],Table1[Tabela],Plano_V3!E544,Table1[Campo],Plano_V3!F544)</f>
        <v>0.1</v>
      </c>
      <c r="J544" s="182">
        <f t="shared" si="75"/>
        <v>1.2500000000000001E-2</v>
      </c>
      <c r="K544" s="182">
        <f>SUMIFS(Table1[Horas efetivas],Table1[Tabela],Plano_V3!E544,Table1[Campo],Plano_V3!F544)</f>
        <v>0.1</v>
      </c>
      <c r="L544" s="182">
        <f t="shared" si="76"/>
        <v>1.2500000000000001E-2</v>
      </c>
      <c r="M544" s="184"/>
      <c r="N544" s="184">
        <f t="shared" si="77"/>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4"/>
        <v>lt002_instrumentcod_soc</v>
      </c>
      <c r="B545" s="68" t="s">
        <v>26</v>
      </c>
      <c r="C545" s="69" t="s">
        <v>26</v>
      </c>
      <c r="D545" s="65" t="s">
        <v>40</v>
      </c>
      <c r="E545" s="71" t="s">
        <v>380</v>
      </c>
      <c r="F545" s="72" t="s">
        <v>417</v>
      </c>
      <c r="G545" s="65" t="str">
        <f>INDEX(Auxiliar!$B$16:$B$24,MATCH(Plano_V3!H545,Auxiliar!$C$16:$C$24,0),1)</f>
        <v>1. Concluído</v>
      </c>
      <c r="H545" s="65">
        <f>VLOOKUP(A545,'Aux - pivots1'!$A:$B,2,0)</f>
        <v>1</v>
      </c>
      <c r="I545" s="182">
        <f>SUMIFS(Table1[Estimação (horas)],Table1[Tabela],Plano_V3!E545,Table1[Campo],Plano_V3!F545)</f>
        <v>0.1</v>
      </c>
      <c r="J545" s="182">
        <f t="shared" si="75"/>
        <v>1.2500000000000001E-2</v>
      </c>
      <c r="K545" s="182">
        <f>SUMIFS(Table1[Horas efetivas],Table1[Tabela],Plano_V3!E545,Table1[Campo],Plano_V3!F545)</f>
        <v>0.1</v>
      </c>
      <c r="L545" s="182">
        <f t="shared" si="76"/>
        <v>1.2500000000000001E-2</v>
      </c>
      <c r="M545" s="184"/>
      <c r="N545" s="184">
        <f t="shared" si="77"/>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4"/>
        <v>lt002_instrumentlcl_instmrnt_id</v>
      </c>
      <c r="B546" s="68" t="s">
        <v>26</v>
      </c>
      <c r="C546" s="69" t="s">
        <v>26</v>
      </c>
      <c r="D546" s="65" t="s">
        <v>40</v>
      </c>
      <c r="E546" s="71" t="s">
        <v>380</v>
      </c>
      <c r="F546" s="72" t="s">
        <v>418</v>
      </c>
      <c r="G546" s="65" t="str">
        <f>INDEX(Auxiliar!$B$16:$B$24,MATCH(Plano_V3!H546,Auxiliar!$C$16:$C$24,0),1)</f>
        <v>1. Concluído</v>
      </c>
      <c r="H546" s="65">
        <f>VLOOKUP(A546,'Aux - pivots1'!$A:$B,2,0)</f>
        <v>1</v>
      </c>
      <c r="I546" s="182">
        <f>SUMIFS(Table1[Estimação (horas)],Table1[Tabela],Plano_V3!E546,Table1[Campo],Plano_V3!F546)</f>
        <v>0.1</v>
      </c>
      <c r="J546" s="182">
        <f t="shared" si="75"/>
        <v>1.2500000000000001E-2</v>
      </c>
      <c r="K546" s="182">
        <f>SUMIFS(Table1[Horas efetivas],Table1[Tabela],Plano_V3!E546,Table1[Campo],Plano_V3!F546)</f>
        <v>0.1</v>
      </c>
      <c r="L546" s="182">
        <f t="shared" si="76"/>
        <v>1.2500000000000001E-2</v>
      </c>
      <c r="M546" s="184"/>
      <c r="N546" s="184">
        <f t="shared" si="77"/>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4"/>
        <v>lt002_instrumentsstnbl_indctr</v>
      </c>
      <c r="B547" s="68" t="s">
        <v>26</v>
      </c>
      <c r="C547" s="69" t="s">
        <v>26</v>
      </c>
      <c r="D547" s="65" t="s">
        <v>40</v>
      </c>
      <c r="E547" s="71" t="s">
        <v>380</v>
      </c>
      <c r="F547" s="72" t="s">
        <v>419</v>
      </c>
      <c r="G547" s="65" t="str">
        <f>INDEX(Auxiliar!$B$16:$B$24,MATCH(Plano_V3!H547,Auxiliar!$C$16:$C$24,0),1)</f>
        <v>6. Em implementação (re-especificação)</v>
      </c>
      <c r="H547" s="65">
        <f>VLOOKUP(A547,'Aux - pivots1'!$A:$B,2,0)</f>
        <v>7</v>
      </c>
      <c r="I547" s="182">
        <f>SUMIFS(Table1[Estimação (horas)],Table1[Tabela],Plano_V3!E547,Table1[Campo],Plano_V3!F547)</f>
        <v>0.1</v>
      </c>
      <c r="J547" s="182">
        <f t="shared" si="75"/>
        <v>1.2500000000000001E-2</v>
      </c>
      <c r="K547" s="182">
        <f>SUMIFS(Table1[Horas efetivas],Table1[Tabela],Plano_V3!E547,Table1[Campo],Plano_V3!F547)</f>
        <v>2.5000000000000001E-2</v>
      </c>
      <c r="L547" s="182">
        <f t="shared" si="76"/>
        <v>3.1250000000000002E-3</v>
      </c>
      <c r="M547" s="184"/>
      <c r="N547" s="184">
        <f t="shared" si="77"/>
        <v>0.25</v>
      </c>
      <c r="O547" s="184"/>
      <c r="P547" s="90" t="s">
        <v>31</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4"/>
        <v>lt002_instrumentsstnbl_ctgry</v>
      </c>
      <c r="B548" s="68" t="s">
        <v>26</v>
      </c>
      <c r="C548" s="69" t="s">
        <v>26</v>
      </c>
      <c r="D548" s="65" t="s">
        <v>40</v>
      </c>
      <c r="E548" s="71" t="s">
        <v>380</v>
      </c>
      <c r="F548" s="72" t="s">
        <v>420</v>
      </c>
      <c r="G548" s="65" t="str">
        <f>INDEX(Auxiliar!$B$16:$B$24,MATCH(Plano_V3!H548,Auxiliar!$C$16:$C$24,0),1)</f>
        <v>6. Em implementação (re-especificação)</v>
      </c>
      <c r="H548" s="65">
        <f>VLOOKUP(A548,'Aux - pivots1'!$A:$B,2,0)</f>
        <v>7</v>
      </c>
      <c r="I548" s="182">
        <f>SUMIFS(Table1[Estimação (horas)],Table1[Tabela],Plano_V3!E548,Table1[Campo],Plano_V3!F548)</f>
        <v>0.1</v>
      </c>
      <c r="J548" s="182">
        <f t="shared" si="75"/>
        <v>1.2500000000000001E-2</v>
      </c>
      <c r="K548" s="182">
        <f>SUMIFS(Table1[Horas efetivas],Table1[Tabela],Plano_V3!E548,Table1[Campo],Plano_V3!F548)</f>
        <v>2.5000000000000001E-2</v>
      </c>
      <c r="L548" s="182">
        <f t="shared" si="76"/>
        <v>3.1250000000000002E-3</v>
      </c>
      <c r="M548" s="184"/>
      <c r="N548" s="184">
        <f t="shared" si="77"/>
        <v>0.25</v>
      </c>
      <c r="O548" s="184"/>
      <c r="P548" s="90" t="s">
        <v>31</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4"/>
        <v>lt002_instrumentgrss_intrst_incm</v>
      </c>
      <c r="B549" s="68" t="s">
        <v>26</v>
      </c>
      <c r="C549" s="69" t="s">
        <v>26</v>
      </c>
      <c r="D549" s="65" t="s">
        <v>40</v>
      </c>
      <c r="E549" s="71" t="s">
        <v>380</v>
      </c>
      <c r="F549" s="72" t="s">
        <v>421</v>
      </c>
      <c r="G549" s="65" t="str">
        <f>INDEX(Auxiliar!$B$16:$B$24,MATCH(Plano_V3!H549,Auxiliar!$C$16:$C$24,0),1)</f>
        <v>2.2 Em Re-especificação</v>
      </c>
      <c r="H549" s="65">
        <f>VLOOKUP(A549,'Aux - pivots1'!$A:$B,2,0)</f>
        <v>3</v>
      </c>
      <c r="I549" s="182">
        <f>SUMIFS(Table1[Estimação (horas)],Table1[Tabela],Plano_V3!E549,Table1[Campo],Plano_V3!F549)</f>
        <v>0.1</v>
      </c>
      <c r="J549" s="182">
        <f t="shared" si="75"/>
        <v>1.2500000000000001E-2</v>
      </c>
      <c r="K549" s="182">
        <f>SUMIFS(Table1[Horas efetivas],Table1[Tabela],Plano_V3!E549,Table1[Campo],Plano_V3!F549)</f>
        <v>0.05</v>
      </c>
      <c r="L549" s="182">
        <f t="shared" si="76"/>
        <v>6.2500000000000003E-3</v>
      </c>
      <c r="M549" s="184"/>
      <c r="N549" s="184">
        <f t="shared" si="77"/>
        <v>0.5</v>
      </c>
      <c r="O549" s="184"/>
      <c r="P549" s="90" t="s">
        <v>31</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4"/>
        <v>lt002_instrumentgrss_cmmssn_incm</v>
      </c>
      <c r="B550" s="68" t="s">
        <v>26</v>
      </c>
      <c r="C550" s="69" t="s">
        <v>26</v>
      </c>
      <c r="D550" s="65" t="s">
        <v>40</v>
      </c>
      <c r="E550" s="71" t="s">
        <v>380</v>
      </c>
      <c r="F550" s="72" t="s">
        <v>422</v>
      </c>
      <c r="G550" s="65" t="str">
        <f>INDEX(Auxiliar!$B$16:$B$24,MATCH(Plano_V3!H550,Auxiliar!$C$16:$C$24,0),1)</f>
        <v>2.2 Em Re-especificação</v>
      </c>
      <c r="H550" s="65">
        <f>VLOOKUP(A550,'Aux - pivots1'!$A:$B,2,0)</f>
        <v>3</v>
      </c>
      <c r="I550" s="182">
        <f>SUMIFS(Table1[Estimação (horas)],Table1[Tabela],Plano_V3!E550,Table1[Campo],Plano_V3!F550)</f>
        <v>0.1</v>
      </c>
      <c r="J550" s="182">
        <f t="shared" si="75"/>
        <v>1.2500000000000001E-2</v>
      </c>
      <c r="K550" s="182">
        <f>SUMIFS(Table1[Horas efetivas],Table1[Tabela],Plano_V3!E550,Table1[Campo],Plano_V3!F550)</f>
        <v>0.05</v>
      </c>
      <c r="L550" s="182">
        <f t="shared" si="76"/>
        <v>6.2500000000000003E-3</v>
      </c>
      <c r="M550" s="184"/>
      <c r="N550" s="184">
        <f t="shared" si="77"/>
        <v>0.5</v>
      </c>
      <c r="O550" s="184"/>
      <c r="P550" s="90" t="s">
        <v>31</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4"/>
        <v>lt002_instrumentgrss_cmmssn_incm_off_blnc</v>
      </c>
      <c r="B551" s="68" t="s">
        <v>26</v>
      </c>
      <c r="C551" s="69" t="s">
        <v>26</v>
      </c>
      <c r="D551" s="65" t="s">
        <v>40</v>
      </c>
      <c r="E551" s="71" t="s">
        <v>380</v>
      </c>
      <c r="F551" s="72" t="s">
        <v>423</v>
      </c>
      <c r="G551" s="65" t="str">
        <f>INDEX(Auxiliar!$B$16:$B$24,MATCH(Plano_V3!H551,Auxiliar!$C$16:$C$24,0),1)</f>
        <v>2.2 Em Re-especificação</v>
      </c>
      <c r="H551" s="65">
        <f>VLOOKUP(A551,'Aux - pivots1'!$A:$B,2,0)</f>
        <v>3</v>
      </c>
      <c r="I551" s="182">
        <f>SUMIFS(Table1[Estimação (horas)],Table1[Tabela],Plano_V3!E551,Table1[Campo],Plano_V3!F551)</f>
        <v>0.1</v>
      </c>
      <c r="J551" s="182">
        <f t="shared" si="75"/>
        <v>1.2500000000000001E-2</v>
      </c>
      <c r="K551" s="182">
        <f>SUMIFS(Table1[Horas efetivas],Table1[Tabela],Plano_V3!E551,Table1[Campo],Plano_V3!F551)</f>
        <v>0.05</v>
      </c>
      <c r="L551" s="182">
        <f t="shared" si="76"/>
        <v>6.2500000000000003E-3</v>
      </c>
      <c r="M551" s="184"/>
      <c r="N551" s="184">
        <f t="shared" si="77"/>
        <v>0.5</v>
      </c>
      <c r="O551" s="184"/>
      <c r="P551" s="90" t="s">
        <v>31</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4"/>
        <v>lt002_instrumentidcmb</v>
      </c>
      <c r="B552" s="68" t="s">
        <v>26</v>
      </c>
      <c r="C552" s="69" t="s">
        <v>26</v>
      </c>
      <c r="D552" s="65" t="s">
        <v>40</v>
      </c>
      <c r="E552" s="71" t="s">
        <v>380</v>
      </c>
      <c r="F552" s="72" t="s">
        <v>424</v>
      </c>
      <c r="G552" s="65" t="str">
        <f>INDEX(Auxiliar!$B$16:$B$24,MATCH(Plano_V3!H552,Auxiliar!$C$16:$C$24,0),1)</f>
        <v>1. Concluído</v>
      </c>
      <c r="H552" s="65">
        <f>VLOOKUP(A552,'Aux - pivots1'!$A:$B,2,0)</f>
        <v>1</v>
      </c>
      <c r="I552" s="182">
        <f>SUMIFS(Table1[Estimação (horas)],Table1[Tabela],Plano_V3!E552,Table1[Campo],Plano_V3!F552)</f>
        <v>0.1</v>
      </c>
      <c r="J552" s="182">
        <f t="shared" si="75"/>
        <v>1.2500000000000001E-2</v>
      </c>
      <c r="K552" s="182">
        <f>SUMIFS(Table1[Horas efetivas],Table1[Tabela],Plano_V3!E552,Table1[Campo],Plano_V3!F552)</f>
        <v>0.1</v>
      </c>
      <c r="L552" s="182">
        <f t="shared" si="76"/>
        <v>1.2500000000000001E-2</v>
      </c>
      <c r="M552" s="184"/>
      <c r="N552" s="184">
        <f t="shared" si="77"/>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4"/>
        <v>lt003_entitycntry</v>
      </c>
      <c r="B553" s="68" t="s">
        <v>26</v>
      </c>
      <c r="C553" s="69" t="s">
        <v>26</v>
      </c>
      <c r="D553" s="65" t="s">
        <v>40</v>
      </c>
      <c r="E553" s="71" t="s">
        <v>336</v>
      </c>
      <c r="F553" s="72" t="s">
        <v>425</v>
      </c>
      <c r="G553" s="65" t="str">
        <f>INDEX(Auxiliar!$B$16:$B$24,MATCH(Plano_V3!H553,Auxiliar!$C$16:$C$24,0),1)</f>
        <v>1. Concluído</v>
      </c>
      <c r="H553" s="65">
        <f>VLOOKUP(A553,'Aux - pivots1'!$A:$B,2,0)</f>
        <v>1</v>
      </c>
      <c r="I553" s="182">
        <f>SUMIFS(Table1[Estimação (horas)],Table1[Tabela],Plano_V3!E553,Table1[Campo],Plano_V3!F553)</f>
        <v>0.1</v>
      </c>
      <c r="J553" s="182">
        <f t="shared" si="75"/>
        <v>1.2500000000000001E-2</v>
      </c>
      <c r="K553" s="182">
        <f>SUMIFS(Table1[Horas efetivas],Table1[Tabela],Plano_V3!E553,Table1[Campo],Plano_V3!F553)</f>
        <v>0.1</v>
      </c>
      <c r="L553" s="182">
        <f t="shared" si="76"/>
        <v>1.2500000000000001E-2</v>
      </c>
      <c r="M553" s="184"/>
      <c r="N553" s="184">
        <f t="shared" si="77"/>
        <v>1</v>
      </c>
      <c r="O553" s="184"/>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4"/>
        <v>lt003_entitydt_rfrnc</v>
      </c>
      <c r="B554" s="68" t="s">
        <v>26</v>
      </c>
      <c r="C554" s="69" t="s">
        <v>26</v>
      </c>
      <c r="D554" s="65" t="s">
        <v>40</v>
      </c>
      <c r="E554" s="71" t="s">
        <v>336</v>
      </c>
      <c r="F554" s="72" t="s">
        <v>399</v>
      </c>
      <c r="G554" s="65" t="str">
        <f>INDEX(Auxiliar!$B$16:$B$24,MATCH(Plano_V3!H554,Auxiliar!$C$16:$C$24,0),1)</f>
        <v>1. Concluído</v>
      </c>
      <c r="H554" s="65">
        <f>VLOOKUP(A554,'Aux - pivots1'!$A:$B,2,0)</f>
        <v>1</v>
      </c>
      <c r="I554" s="182">
        <f>SUMIFS(Table1[Estimação (horas)],Table1[Tabela],Plano_V3!E554,Table1[Campo],Plano_V3!F554)</f>
        <v>0.1</v>
      </c>
      <c r="J554" s="182">
        <f t="shared" si="75"/>
        <v>1.2500000000000001E-2</v>
      </c>
      <c r="K554" s="182">
        <f>SUMIFS(Table1[Horas efetivas],Table1[Tabela],Plano_V3!E554,Table1[Campo],Plano_V3!F554)</f>
        <v>0.1</v>
      </c>
      <c r="L554" s="182">
        <f t="shared" si="76"/>
        <v>1.2500000000000001E-2</v>
      </c>
      <c r="M554" s="184"/>
      <c r="N554" s="184">
        <f t="shared" si="77"/>
        <v>1</v>
      </c>
      <c r="O554" s="184"/>
      <c r="P554" s="90" t="s">
        <v>400</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4"/>
        <v>lt003_entityentty_id</v>
      </c>
      <c r="B555" s="68" t="s">
        <v>26</v>
      </c>
      <c r="C555" s="69" t="s">
        <v>26</v>
      </c>
      <c r="D555" s="65" t="s">
        <v>40</v>
      </c>
      <c r="E555" s="71" t="s">
        <v>336</v>
      </c>
      <c r="F555" s="72" t="s">
        <v>426</v>
      </c>
      <c r="G555" s="65" t="str">
        <f>INDEX(Auxiliar!$B$16:$B$24,MATCH(Plano_V3!H555,Auxiliar!$C$16:$C$24,0),1)</f>
        <v>1. Concluído</v>
      </c>
      <c r="H555" s="65">
        <f>VLOOKUP(A555,'Aux - pivots1'!$A:$B,2,0)</f>
        <v>1</v>
      </c>
      <c r="I555" s="182">
        <f>SUMIFS(Table1[Estimação (horas)],Table1[Tabela],Plano_V3!E555,Table1[Campo],Plano_V3!F555)</f>
        <v>0.1</v>
      </c>
      <c r="J555" s="182">
        <f t="shared" si="75"/>
        <v>1.2500000000000001E-2</v>
      </c>
      <c r="K555" s="182">
        <f>SUMIFS(Table1[Horas efetivas],Table1[Tabela],Plano_V3!E555,Table1[Campo],Plano_V3!F555)</f>
        <v>0.1</v>
      </c>
      <c r="L555" s="182">
        <f t="shared" si="76"/>
        <v>1.2500000000000001E-2</v>
      </c>
      <c r="M555" s="184"/>
      <c r="N555" s="184">
        <f t="shared" si="77"/>
        <v>1</v>
      </c>
      <c r="O555" s="184"/>
      <c r="P555" s="90" t="s">
        <v>400</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4"/>
        <v>lt003_entitylei</v>
      </c>
      <c r="B556" s="68" t="s">
        <v>26</v>
      </c>
      <c r="C556" s="69" t="s">
        <v>26</v>
      </c>
      <c r="D556" s="65" t="s">
        <v>40</v>
      </c>
      <c r="E556" s="71" t="s">
        <v>336</v>
      </c>
      <c r="F556" s="72" t="s">
        <v>427</v>
      </c>
      <c r="G556" s="65" t="str">
        <f>INDEX(Auxiliar!$B$16:$B$24,MATCH(Plano_V3!H556,Auxiliar!$C$16:$C$24,0),1)</f>
        <v>1. Concluído</v>
      </c>
      <c r="H556" s="65">
        <f>VLOOKUP(A556,'Aux - pivots1'!$A:$B,2,0)</f>
        <v>1</v>
      </c>
      <c r="I556" s="182">
        <f>SUMIFS(Table1[Estimação (horas)],Table1[Tabela],Plano_V3!E556,Table1[Campo],Plano_V3!F556)</f>
        <v>0.1</v>
      </c>
      <c r="J556" s="182">
        <f t="shared" si="75"/>
        <v>1.2500000000000001E-2</v>
      </c>
      <c r="K556" s="182">
        <f>SUMIFS(Table1[Horas efetivas],Table1[Tabela],Plano_V3!E556,Table1[Campo],Plano_V3!F556)</f>
        <v>0.1</v>
      </c>
      <c r="L556" s="182">
        <f t="shared" si="76"/>
        <v>1.2500000000000001E-2</v>
      </c>
      <c r="M556" s="184"/>
      <c r="N556" s="184">
        <f t="shared" si="77"/>
        <v>1</v>
      </c>
      <c r="O556" s="184"/>
      <c r="P556" s="90" t="s">
        <v>400</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4"/>
        <v>lt003_entityecnmc_actvty</v>
      </c>
      <c r="B557" s="68" t="s">
        <v>26</v>
      </c>
      <c r="C557" s="69" t="s">
        <v>26</v>
      </c>
      <c r="D557" s="65" t="s">
        <v>40</v>
      </c>
      <c r="E557" s="71" t="s">
        <v>336</v>
      </c>
      <c r="F557" s="72" t="s">
        <v>428</v>
      </c>
      <c r="G557" s="65" t="str">
        <f>INDEX(Auxiliar!$B$16:$B$24,MATCH(Plano_V3!H557,Auxiliar!$C$16:$C$24,0),1)</f>
        <v>1. Concluído</v>
      </c>
      <c r="H557" s="65">
        <f>VLOOKUP(A557,'Aux - pivots1'!$A:$B,2,0)</f>
        <v>1</v>
      </c>
      <c r="I557" s="182">
        <f>SUMIFS(Table1[Estimação (horas)],Table1[Tabela],Plano_V3!E557,Table1[Campo],Plano_V3!F557)</f>
        <v>0.1</v>
      </c>
      <c r="J557" s="182">
        <f t="shared" si="75"/>
        <v>1.2500000000000001E-2</v>
      </c>
      <c r="K557" s="182">
        <f>SUMIFS(Table1[Horas efetivas],Table1[Tabela],Plano_V3!E557,Table1[Campo],Plano_V3!F557)</f>
        <v>0.1</v>
      </c>
      <c r="L557" s="182">
        <f t="shared" si="76"/>
        <v>1.2500000000000001E-2</v>
      </c>
      <c r="M557" s="184"/>
      <c r="N557" s="184">
        <f t="shared" si="77"/>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4"/>
        <v>lt003_entitygrp_eqty</v>
      </c>
      <c r="B558" s="68" t="s">
        <v>26</v>
      </c>
      <c r="C558" s="69" t="s">
        <v>26</v>
      </c>
      <c r="D558" s="65" t="s">
        <v>40</v>
      </c>
      <c r="E558" s="71" t="s">
        <v>336</v>
      </c>
      <c r="F558" s="72" t="s">
        <v>429</v>
      </c>
      <c r="G558" s="65" t="str">
        <f>INDEX(Auxiliar!$B$16:$B$24,MATCH(Plano_V3!H558,Auxiliar!$C$16:$C$24,0),1)</f>
        <v>1. Concluído</v>
      </c>
      <c r="H558" s="65">
        <f>VLOOKUP(A558,'Aux - pivots1'!$A:$B,2,0)</f>
        <v>1</v>
      </c>
      <c r="I558" s="182">
        <f>SUMIFS(Table1[Estimação (horas)],Table1[Tabela],Plano_V3!E558,Table1[Campo],Plano_V3!F558)</f>
        <v>0.1</v>
      </c>
      <c r="J558" s="182">
        <f t="shared" si="75"/>
        <v>1.2500000000000001E-2</v>
      </c>
      <c r="K558" s="182">
        <f>SUMIFS(Table1[Horas efetivas],Table1[Tabela],Plano_V3!E558,Table1[Campo],Plano_V3!F558)</f>
        <v>0.1</v>
      </c>
      <c r="L558" s="182">
        <f t="shared" si="76"/>
        <v>1.2500000000000001E-2</v>
      </c>
      <c r="M558" s="184"/>
      <c r="N558" s="184">
        <f t="shared" si="77"/>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4"/>
        <v>lt003_entityannl_trnvr_le</v>
      </c>
      <c r="B559" s="68" t="s">
        <v>26</v>
      </c>
      <c r="C559" s="69" t="s">
        <v>26</v>
      </c>
      <c r="D559" s="65" t="s">
        <v>40</v>
      </c>
      <c r="E559" s="71" t="s">
        <v>336</v>
      </c>
      <c r="F559" s="72" t="s">
        <v>430</v>
      </c>
      <c r="G559" s="65" t="str">
        <f>INDEX(Auxiliar!$B$16:$B$24,MATCH(Plano_V3!H559,Auxiliar!$C$16:$C$24,0),1)</f>
        <v>1. Concluído</v>
      </c>
      <c r="H559" s="65">
        <f>VLOOKUP(A559,'Aux - pivots1'!$A:$B,2,0)</f>
        <v>1</v>
      </c>
      <c r="I559" s="182">
        <f>SUMIFS(Table1[Estimação (horas)],Table1[Tabela],Plano_V3!E559,Table1[Campo],Plano_V3!F559)</f>
        <v>0.1</v>
      </c>
      <c r="J559" s="182">
        <f t="shared" si="75"/>
        <v>1.2500000000000001E-2</v>
      </c>
      <c r="K559" s="182">
        <f>SUMIFS(Table1[Horas efetivas],Table1[Tabela],Plano_V3!E559,Table1[Campo],Plano_V3!F559)</f>
        <v>0.1</v>
      </c>
      <c r="L559" s="182">
        <f t="shared" si="76"/>
        <v>1.2500000000000001E-2</v>
      </c>
      <c r="M559" s="184"/>
      <c r="N559" s="184">
        <f t="shared" si="77"/>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4"/>
        <v>lt003_entityeqty</v>
      </c>
      <c r="B560" s="68" t="s">
        <v>26</v>
      </c>
      <c r="C560" s="69" t="s">
        <v>26</v>
      </c>
      <c r="D560" s="65" t="s">
        <v>40</v>
      </c>
      <c r="E560" s="71" t="s">
        <v>336</v>
      </c>
      <c r="F560" s="72" t="s">
        <v>431</v>
      </c>
      <c r="G560" s="65" t="str">
        <f>INDEX(Auxiliar!$B$16:$B$24,MATCH(Plano_V3!H560,Auxiliar!$C$16:$C$24,0),1)</f>
        <v>1. Concluído</v>
      </c>
      <c r="H560" s="65">
        <f>VLOOKUP(A560,'Aux - pivots1'!$A:$B,2,0)</f>
        <v>1</v>
      </c>
      <c r="I560" s="182">
        <f>SUMIFS(Table1[Estimação (horas)],Table1[Tabela],Plano_V3!E560,Table1[Campo],Plano_V3!F560)</f>
        <v>0.1</v>
      </c>
      <c r="J560" s="182">
        <f t="shared" si="75"/>
        <v>1.2500000000000001E-2</v>
      </c>
      <c r="K560" s="182">
        <f>SUMIFS(Table1[Horas efetivas],Table1[Tabela],Plano_V3!E560,Table1[Campo],Plano_V3!F560)</f>
        <v>0.1</v>
      </c>
      <c r="L560" s="182">
        <f t="shared" si="76"/>
        <v>1.2500000000000001E-2</v>
      </c>
      <c r="M560" s="184"/>
      <c r="N560" s="184">
        <f t="shared" si="77"/>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4"/>
        <v>lt003_entitygrp_ttl_dbt</v>
      </c>
      <c r="B561" s="68" t="s">
        <v>26</v>
      </c>
      <c r="C561" s="69" t="s">
        <v>26</v>
      </c>
      <c r="D561" s="65" t="s">
        <v>40</v>
      </c>
      <c r="E561" s="71" t="s">
        <v>336</v>
      </c>
      <c r="F561" s="72" t="s">
        <v>432</v>
      </c>
      <c r="G561" s="65" t="str">
        <f>INDEX(Auxiliar!$B$16:$B$24,MATCH(Plano_V3!H561,Auxiliar!$C$16:$C$24,0),1)</f>
        <v>1. Concluído</v>
      </c>
      <c r="H561" s="65">
        <f>VLOOKUP(A561,'Aux - pivots1'!$A:$B,2,0)</f>
        <v>1</v>
      </c>
      <c r="I561" s="182">
        <f>SUMIFS(Table1[Estimação (horas)],Table1[Tabela],Plano_V3!E561,Table1[Campo],Plano_V3!F561)</f>
        <v>0.1</v>
      </c>
      <c r="J561" s="182">
        <f t="shared" si="75"/>
        <v>1.2500000000000001E-2</v>
      </c>
      <c r="K561" s="182">
        <f>SUMIFS(Table1[Horas efetivas],Table1[Tabela],Plano_V3!E561,Table1[Campo],Plano_V3!F561)</f>
        <v>0.1</v>
      </c>
      <c r="L561" s="182">
        <f t="shared" si="76"/>
        <v>1.2500000000000001E-2</v>
      </c>
      <c r="M561" s="184"/>
      <c r="N561" s="184">
        <f t="shared" si="77"/>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4"/>
        <v>lt003_entityttl_dbt</v>
      </c>
      <c r="B562" s="68" t="s">
        <v>26</v>
      </c>
      <c r="C562" s="69" t="s">
        <v>26</v>
      </c>
      <c r="D562" s="65" t="s">
        <v>40</v>
      </c>
      <c r="E562" s="71" t="s">
        <v>336</v>
      </c>
      <c r="F562" s="72" t="s">
        <v>433</v>
      </c>
      <c r="G562" s="65" t="str">
        <f>INDEX(Auxiliar!$B$16:$B$24,MATCH(Plano_V3!H562,Auxiliar!$C$16:$C$24,0),1)</f>
        <v>1. Concluído</v>
      </c>
      <c r="H562" s="65">
        <f>VLOOKUP(A562,'Aux - pivots1'!$A:$B,2,0)</f>
        <v>1</v>
      </c>
      <c r="I562" s="182">
        <f>SUMIFS(Table1[Estimação (horas)],Table1[Tabela],Plano_V3!E562,Table1[Campo],Plano_V3!F562)</f>
        <v>0.1</v>
      </c>
      <c r="J562" s="182">
        <f t="shared" si="75"/>
        <v>1.2500000000000001E-2</v>
      </c>
      <c r="K562" s="182">
        <f>SUMIFS(Table1[Horas efetivas],Table1[Tabela],Plano_V3!E562,Table1[Campo],Plano_V3!F562)</f>
        <v>0.1</v>
      </c>
      <c r="L562" s="182">
        <f t="shared" si="76"/>
        <v>1.2500000000000001E-2</v>
      </c>
      <c r="M562" s="184"/>
      <c r="N562" s="184">
        <f t="shared" si="77"/>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4"/>
        <v>lt003_entitycod_soc</v>
      </c>
      <c r="B563" s="68" t="s">
        <v>26</v>
      </c>
      <c r="C563" s="69" t="s">
        <v>26</v>
      </c>
      <c r="D563" s="65" t="s">
        <v>40</v>
      </c>
      <c r="E563" s="71" t="s">
        <v>336</v>
      </c>
      <c r="F563" s="72" t="s">
        <v>417</v>
      </c>
      <c r="G563" s="65" t="str">
        <f>INDEX(Auxiliar!$B$16:$B$24,MATCH(Plano_V3!H563,Auxiliar!$C$16:$C$24,0),1)</f>
        <v>1. Concluído</v>
      </c>
      <c r="H563" s="65">
        <f>VLOOKUP(A563,'Aux - pivots1'!$A:$B,2,0)</f>
        <v>1</v>
      </c>
      <c r="I563" s="182">
        <f>SUMIFS(Table1[Estimação (horas)],Table1[Tabela],Plano_V3!E563,Table1[Campo],Plano_V3!F563)</f>
        <v>0.1</v>
      </c>
      <c r="J563" s="182">
        <f t="shared" si="75"/>
        <v>1.2500000000000001E-2</v>
      </c>
      <c r="K563" s="182">
        <f>SUMIFS(Table1[Horas efetivas],Table1[Tabela],Plano_V3!E563,Table1[Campo],Plano_V3!F563)</f>
        <v>0.1</v>
      </c>
      <c r="L563" s="182">
        <f t="shared" si="76"/>
        <v>1.2500000000000001E-2</v>
      </c>
      <c r="M563" s="184"/>
      <c r="N563" s="184">
        <f t="shared" si="77"/>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4"/>
        <v>lt004_protectiondt_rfrnc</v>
      </c>
      <c r="B564" s="68" t="s">
        <v>26</v>
      </c>
      <c r="C564" s="69" t="s">
        <v>26</v>
      </c>
      <c r="D564" s="65" t="s">
        <v>40</v>
      </c>
      <c r="E564" s="71" t="s">
        <v>369</v>
      </c>
      <c r="F564" s="72" t="s">
        <v>399</v>
      </c>
      <c r="G564" s="65" t="str">
        <f>INDEX(Auxiliar!$B$16:$B$24,MATCH(Plano_V3!H564,Auxiliar!$C$16:$C$24,0),1)</f>
        <v>1. Concluído</v>
      </c>
      <c r="H564" s="65">
        <f>VLOOKUP(A564,'Aux - pivots1'!$A:$B,2,0)</f>
        <v>1</v>
      </c>
      <c r="I564" s="182">
        <f>SUMIFS(Table1[Estimação (horas)],Table1[Tabela],Plano_V3!E564,Table1[Campo],Plano_V3!F564)</f>
        <v>0.1</v>
      </c>
      <c r="J564" s="182">
        <f t="shared" si="75"/>
        <v>1.2500000000000001E-2</v>
      </c>
      <c r="K564" s="182">
        <f>SUMIFS(Table1[Horas efetivas],Table1[Tabela],Plano_V3!E564,Table1[Campo],Plano_V3!F564)</f>
        <v>0.1</v>
      </c>
      <c r="L564" s="182">
        <f t="shared" si="76"/>
        <v>1.2500000000000001E-2</v>
      </c>
      <c r="M564" s="184"/>
      <c r="N564" s="184">
        <f t="shared" si="77"/>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4"/>
        <v>lt004_protectionprtctn_id</v>
      </c>
      <c r="B565" s="68" t="s">
        <v>26</v>
      </c>
      <c r="C565" s="69" t="s">
        <v>26</v>
      </c>
      <c r="D565" s="65" t="s">
        <v>40</v>
      </c>
      <c r="E565" s="71" t="s">
        <v>369</v>
      </c>
      <c r="F565" s="72" t="s">
        <v>434</v>
      </c>
      <c r="G565" s="65" t="str">
        <f>INDEX(Auxiliar!$B$16:$B$24,MATCH(Plano_V3!H565,Auxiliar!$C$16:$C$24,0),1)</f>
        <v>6. Em implementação (re-especificação)</v>
      </c>
      <c r="H565" s="65">
        <f>VLOOKUP(A565,'Aux - pivots1'!$A:$B,2,0)</f>
        <v>7</v>
      </c>
      <c r="I565" s="182">
        <f>SUMIFS(Table1[Estimação (horas)],Table1[Tabela],Plano_V3!E565,Table1[Campo],Plano_V3!F565)</f>
        <v>0.1</v>
      </c>
      <c r="J565" s="182">
        <f t="shared" si="75"/>
        <v>1.2500000000000001E-2</v>
      </c>
      <c r="K565" s="182">
        <f>SUMIFS(Table1[Horas efetivas],Table1[Tabela],Plano_V3!E565,Table1[Campo],Plano_V3!F565)</f>
        <v>2.5000000000000001E-2</v>
      </c>
      <c r="L565" s="182">
        <f t="shared" si="76"/>
        <v>3.1250000000000002E-3</v>
      </c>
      <c r="M565" s="184"/>
      <c r="N565" s="184">
        <f t="shared" si="77"/>
        <v>0.25</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4"/>
        <v>lt004_protectionrl_estt_clltrl_lctn</v>
      </c>
      <c r="B566" s="68" t="s">
        <v>26</v>
      </c>
      <c r="C566" s="69" t="s">
        <v>26</v>
      </c>
      <c r="D566" s="65" t="s">
        <v>40</v>
      </c>
      <c r="E566" s="71" t="s">
        <v>369</v>
      </c>
      <c r="F566" s="72" t="s">
        <v>435</v>
      </c>
      <c r="G566" s="65" t="str">
        <f>INDEX(Auxiliar!$B$16:$B$24,MATCH(Plano_V3!H566,Auxiliar!$C$16:$C$24,0),1)</f>
        <v>6. Em implementação (re-especificação)</v>
      </c>
      <c r="H566" s="65">
        <f>VLOOKUP(A566,'Aux - pivots1'!$A:$B,2,0)</f>
        <v>7</v>
      </c>
      <c r="I566" s="182">
        <f>SUMIFS(Table1[Estimação (horas)],Table1[Tabela],Plano_V3!E566,Table1[Campo],Plano_V3!F566)</f>
        <v>0.1</v>
      </c>
      <c r="J566" s="182">
        <f t="shared" si="75"/>
        <v>1.2500000000000001E-2</v>
      </c>
      <c r="K566" s="182">
        <f>SUMIFS(Table1[Horas efetivas],Table1[Tabela],Plano_V3!E566,Table1[Campo],Plano_V3!F566)</f>
        <v>2.5000000000000001E-2</v>
      </c>
      <c r="L566" s="182">
        <f t="shared" si="76"/>
        <v>3.1250000000000002E-3</v>
      </c>
      <c r="M566" s="184"/>
      <c r="N566" s="184">
        <f t="shared" si="77"/>
        <v>0.25</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4"/>
        <v>lt004_protectionrl_estt_pst_cd</v>
      </c>
      <c r="B567" s="68" t="s">
        <v>26</v>
      </c>
      <c r="C567" s="69" t="s">
        <v>26</v>
      </c>
      <c r="D567" s="65" t="s">
        <v>40</v>
      </c>
      <c r="E567" s="71" t="s">
        <v>369</v>
      </c>
      <c r="F567" s="72" t="s">
        <v>436</v>
      </c>
      <c r="G567" s="65" t="str">
        <f>INDEX(Auxiliar!$B$16:$B$24,MATCH(Plano_V3!H567,Auxiliar!$C$16:$C$24,0),1)</f>
        <v>6. Em implementação (re-especificação)</v>
      </c>
      <c r="H567" s="65">
        <f>VLOOKUP(A567,'Aux - pivots1'!$A:$B,2,0)</f>
        <v>7</v>
      </c>
      <c r="I567" s="182">
        <f>SUMIFS(Table1[Estimação (horas)],Table1[Tabela],Plano_V3!E567,Table1[Campo],Plano_V3!F567)</f>
        <v>0.1</v>
      </c>
      <c r="J567" s="182">
        <f t="shared" si="75"/>
        <v>1.2500000000000001E-2</v>
      </c>
      <c r="K567" s="182">
        <f>SUMIFS(Table1[Horas efetivas],Table1[Tabela],Plano_V3!E567,Table1[Campo],Plano_V3!F567)</f>
        <v>2.5000000000000001E-2</v>
      </c>
      <c r="L567" s="182">
        <f t="shared" si="76"/>
        <v>3.1250000000000002E-3</v>
      </c>
      <c r="M567" s="184"/>
      <c r="N567" s="184">
        <f t="shared" si="77"/>
        <v>0.25</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4"/>
        <v>lt004_protectiontyp_prtctn</v>
      </c>
      <c r="B568" s="68" t="s">
        <v>26</v>
      </c>
      <c r="C568" s="69" t="s">
        <v>26</v>
      </c>
      <c r="D568" s="65" t="s">
        <v>40</v>
      </c>
      <c r="E568" s="71" t="s">
        <v>369</v>
      </c>
      <c r="F568" s="72" t="s">
        <v>437</v>
      </c>
      <c r="G568" s="65" t="str">
        <f>INDEX(Auxiliar!$B$16:$B$24,MATCH(Plano_V3!H568,Auxiliar!$C$16:$C$24,0),1)</f>
        <v>4. Validação EF</v>
      </c>
      <c r="H568" s="65">
        <f>VLOOKUP(A568,'Aux - pivots1'!$A:$B,2,0)</f>
        <v>5</v>
      </c>
      <c r="I568" s="182">
        <f>SUMIFS(Table1[Estimação (horas)],Table1[Tabela],Plano_V3!E568,Table1[Campo],Plano_V3!F568)</f>
        <v>0.1</v>
      </c>
      <c r="J568" s="182">
        <f t="shared" si="75"/>
        <v>1.2500000000000001E-2</v>
      </c>
      <c r="K568" s="182">
        <f>SUMIFS(Table1[Horas efetivas],Table1[Tabela],Plano_V3!E568,Table1[Campo],Plano_V3!F568)</f>
        <v>2.5000000000000001E-2</v>
      </c>
      <c r="L568" s="182">
        <f t="shared" si="76"/>
        <v>3.1250000000000002E-3</v>
      </c>
      <c r="M568" s="184"/>
      <c r="N568" s="184">
        <f t="shared" si="77"/>
        <v>0.25</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4"/>
        <v>lt004_protectionorgnl_prtctn_vl</v>
      </c>
      <c r="B569" s="68" t="s">
        <v>26</v>
      </c>
      <c r="C569" s="69" t="s">
        <v>26</v>
      </c>
      <c r="D569" s="65" t="s">
        <v>40</v>
      </c>
      <c r="E569" s="71" t="s">
        <v>369</v>
      </c>
      <c r="F569" s="72" t="s">
        <v>438</v>
      </c>
      <c r="G569" s="65" t="str">
        <f>INDEX(Auxiliar!$B$16:$B$24,MATCH(Plano_V3!H569,Auxiliar!$C$16:$C$24,0),1)</f>
        <v>2.2 Em Re-especificação</v>
      </c>
      <c r="H569" s="65">
        <f>VLOOKUP(A569,'Aux - pivots1'!$A:$B,2,0)</f>
        <v>3</v>
      </c>
      <c r="I569" s="182">
        <f>SUMIFS(Table1[Estimação (horas)],Table1[Tabela],Plano_V3!E569,Table1[Campo],Plano_V3!F569)</f>
        <v>0.1</v>
      </c>
      <c r="J569" s="182">
        <f t="shared" si="75"/>
        <v>1.2500000000000001E-2</v>
      </c>
      <c r="K569" s="182">
        <f>SUMIFS(Table1[Horas efetivas],Table1[Tabela],Plano_V3!E569,Table1[Campo],Plano_V3!F569)</f>
        <v>0.05</v>
      </c>
      <c r="L569" s="182">
        <f t="shared" si="76"/>
        <v>6.2500000000000003E-3</v>
      </c>
      <c r="M569" s="184"/>
      <c r="N569" s="184">
        <f t="shared" si="77"/>
        <v>0.5</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4"/>
        <v>lt004_protectionprtctn_vl</v>
      </c>
      <c r="B570" s="68" t="s">
        <v>26</v>
      </c>
      <c r="C570" s="69" t="s">
        <v>26</v>
      </c>
      <c r="D570" s="65" t="s">
        <v>40</v>
      </c>
      <c r="E570" s="71" t="s">
        <v>369</v>
      </c>
      <c r="F570" s="72" t="s">
        <v>439</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5"/>
        <v>1.2500000000000001E-2</v>
      </c>
      <c r="K570" s="182">
        <f>SUMIFS(Table1[Horas efetivas],Table1[Tabela],Plano_V3!E570,Table1[Campo],Plano_V3!F570)</f>
        <v>2.5000000000000001E-2</v>
      </c>
      <c r="L570" s="182">
        <f t="shared" si="76"/>
        <v>3.1250000000000002E-3</v>
      </c>
      <c r="M570" s="184"/>
      <c r="N570" s="184">
        <f t="shared" si="77"/>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4"/>
        <v>lt004_protectioncod_soc</v>
      </c>
      <c r="B571" s="68" t="s">
        <v>26</v>
      </c>
      <c r="C571" s="69" t="s">
        <v>26</v>
      </c>
      <c r="D571" s="65" t="s">
        <v>40</v>
      </c>
      <c r="E571" s="71" t="s">
        <v>369</v>
      </c>
      <c r="F571" s="72" t="s">
        <v>417</v>
      </c>
      <c r="G571" s="65" t="str">
        <f>INDEX(Auxiliar!$B$16:$B$24,MATCH(Plano_V3!H571,Auxiliar!$C$16:$C$24,0),1)</f>
        <v>1. Concluído</v>
      </c>
      <c r="H571" s="65">
        <f>VLOOKUP(A571,'Aux - pivots1'!$A:$B,2,0)</f>
        <v>1</v>
      </c>
      <c r="I571" s="182">
        <f>SUMIFS(Table1[Estimação (horas)],Table1[Tabela],Plano_V3!E571,Table1[Campo],Plano_V3!F571)</f>
        <v>0.1</v>
      </c>
      <c r="J571" s="182">
        <f t="shared" si="75"/>
        <v>1.2500000000000001E-2</v>
      </c>
      <c r="K571" s="182">
        <f>SUMIFS(Table1[Horas efetivas],Table1[Tabela],Plano_V3!E571,Table1[Campo],Plano_V3!F571)</f>
        <v>0.1</v>
      </c>
      <c r="L571" s="182">
        <f t="shared" si="76"/>
        <v>1.2500000000000001E-2</v>
      </c>
      <c r="M571" s="184"/>
      <c r="N571" s="184">
        <f t="shared" si="77"/>
        <v>1</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4"/>
        <v>lt005_instr_entdt_rfrnc</v>
      </c>
      <c r="B572" s="68" t="s">
        <v>26</v>
      </c>
      <c r="C572" s="69" t="s">
        <v>26</v>
      </c>
      <c r="D572" s="65" t="s">
        <v>40</v>
      </c>
      <c r="E572" s="71" t="s">
        <v>440</v>
      </c>
      <c r="F572" s="72" t="s">
        <v>399</v>
      </c>
      <c r="G572" s="65" t="str">
        <f>INDEX(Auxiliar!$B$16:$B$24,MATCH(Plano_V3!H572,Auxiliar!$C$16:$C$24,0),1)</f>
        <v>1. Concluído</v>
      </c>
      <c r="H572" s="65">
        <f>VLOOKUP(A572,'Aux - pivots1'!$A:$B,2,0)</f>
        <v>1</v>
      </c>
      <c r="I572" s="182">
        <f>SUMIFS(Table1[Estimação (horas)],Table1[Tabela],Plano_V3!E572,Table1[Campo],Plano_V3!F572)</f>
        <v>0.1</v>
      </c>
      <c r="J572" s="182">
        <f t="shared" si="75"/>
        <v>1.2500000000000001E-2</v>
      </c>
      <c r="K572" s="182">
        <f>SUMIFS(Table1[Horas efetivas],Table1[Tabela],Plano_V3!E572,Table1[Campo],Plano_V3!F572)</f>
        <v>0.1</v>
      </c>
      <c r="L572" s="182">
        <f t="shared" si="76"/>
        <v>1.2500000000000001E-2</v>
      </c>
      <c r="M572" s="184"/>
      <c r="N572" s="184">
        <f t="shared" si="77"/>
        <v>1</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4"/>
        <v>lt005_instr_ententty_id</v>
      </c>
      <c r="B573" s="68" t="s">
        <v>26</v>
      </c>
      <c r="C573" s="69" t="s">
        <v>26</v>
      </c>
      <c r="D573" s="65" t="s">
        <v>40</v>
      </c>
      <c r="E573" s="71" t="s">
        <v>440</v>
      </c>
      <c r="F573" s="72" t="s">
        <v>426</v>
      </c>
      <c r="G573" s="65" t="str">
        <f>INDEX(Auxiliar!$B$16:$B$24,MATCH(Plano_V3!H573,Auxiliar!$C$16:$C$24,0),1)</f>
        <v>1. Concluído</v>
      </c>
      <c r="H573" s="65">
        <f>VLOOKUP(A573,'Aux - pivots1'!$A:$B,2,0)</f>
        <v>1</v>
      </c>
      <c r="I573" s="182">
        <f>SUMIFS(Table1[Estimação (horas)],Table1[Tabela],Plano_V3!E573,Table1[Campo],Plano_V3!F573)</f>
        <v>0.1</v>
      </c>
      <c r="J573" s="182">
        <f t="shared" si="75"/>
        <v>1.2500000000000001E-2</v>
      </c>
      <c r="K573" s="182">
        <f>SUMIFS(Table1[Horas efetivas],Table1[Tabela],Plano_V3!E573,Table1[Campo],Plano_V3!F573)</f>
        <v>0.1</v>
      </c>
      <c r="L573" s="182">
        <f t="shared" si="76"/>
        <v>1.2500000000000001E-2</v>
      </c>
      <c r="M573" s="184"/>
      <c r="N573" s="184">
        <f t="shared" si="77"/>
        <v>1</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4"/>
        <v>lt005_instr_entinstrmnt_id</v>
      </c>
      <c r="B574" s="68" t="s">
        <v>26</v>
      </c>
      <c r="C574" s="69" t="s">
        <v>26</v>
      </c>
      <c r="D574" s="65" t="s">
        <v>40</v>
      </c>
      <c r="E574" s="71" t="s">
        <v>440</v>
      </c>
      <c r="F574" s="72" t="s">
        <v>401</v>
      </c>
      <c r="G574" s="65" t="str">
        <f>INDEX(Auxiliar!$B$16:$B$24,MATCH(Plano_V3!H574,Auxiliar!$C$16:$C$24,0),1)</f>
        <v>1. Concluído</v>
      </c>
      <c r="H574" s="65">
        <f>VLOOKUP(A574,'Aux - pivots1'!$A:$B,2,0)</f>
        <v>1</v>
      </c>
      <c r="I574" s="182">
        <f>SUMIFS(Table1[Estimação (horas)],Table1[Tabela],Plano_V3!E574,Table1[Campo],Plano_V3!F574)</f>
        <v>0.1</v>
      </c>
      <c r="J574" s="182">
        <f t="shared" si="75"/>
        <v>1.2500000000000001E-2</v>
      </c>
      <c r="K574" s="182">
        <f>SUMIFS(Table1[Horas efetivas],Table1[Tabela],Plano_V3!E574,Table1[Campo],Plano_V3!F574)</f>
        <v>0.1</v>
      </c>
      <c r="L574" s="182">
        <f t="shared" si="76"/>
        <v>1.2500000000000001E-2</v>
      </c>
      <c r="M574" s="184"/>
      <c r="N574" s="184">
        <f t="shared" si="77"/>
        <v>1</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4"/>
        <v>lt005_instr_entcod_soc</v>
      </c>
      <c r="B575" s="68" t="s">
        <v>26</v>
      </c>
      <c r="C575" s="69" t="s">
        <v>26</v>
      </c>
      <c r="D575" s="65" t="s">
        <v>40</v>
      </c>
      <c r="E575" s="71" t="s">
        <v>440</v>
      </c>
      <c r="F575" s="72" t="s">
        <v>417</v>
      </c>
      <c r="G575" s="65" t="str">
        <f>INDEX(Auxiliar!$B$16:$B$24,MATCH(Plano_V3!H575,Auxiliar!$C$16:$C$24,0),1)</f>
        <v>1. Concluído</v>
      </c>
      <c r="H575" s="65">
        <f>VLOOKUP(A575,'Aux - pivots1'!$A:$B,2,0)</f>
        <v>1</v>
      </c>
      <c r="I575" s="182">
        <f>SUMIFS(Table1[Estimação (horas)],Table1[Tabela],Plano_V3!E575,Table1[Campo],Plano_V3!F575)</f>
        <v>0.1</v>
      </c>
      <c r="J575" s="182">
        <f t="shared" si="75"/>
        <v>1.2500000000000001E-2</v>
      </c>
      <c r="K575" s="182">
        <f>SUMIFS(Table1[Horas efetivas],Table1[Tabela],Plano_V3!E575,Table1[Campo],Plano_V3!F575)</f>
        <v>0.1</v>
      </c>
      <c r="L575" s="182">
        <f t="shared" si="76"/>
        <v>1.2500000000000001E-2</v>
      </c>
      <c r="M575" s="184"/>
      <c r="N575" s="184">
        <f t="shared" si="77"/>
        <v>1</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4"/>
        <v>lt005_instr_entmn_entty_id</v>
      </c>
      <c r="B576" s="68" t="s">
        <v>26</v>
      </c>
      <c r="C576" s="69" t="s">
        <v>26</v>
      </c>
      <c r="D576" s="65" t="s">
        <v>40</v>
      </c>
      <c r="E576" s="71" t="s">
        <v>440</v>
      </c>
      <c r="F576" s="72" t="s">
        <v>441</v>
      </c>
      <c r="G576" s="65" t="str">
        <f>INDEX(Auxiliar!$B$16:$B$24,MATCH(Plano_V3!H576,Auxiliar!$C$16:$C$24,0),1)</f>
        <v>1. Concluído</v>
      </c>
      <c r="H576" s="65">
        <f>VLOOKUP(A576,'Aux - pivots1'!$A:$B,2,0)</f>
        <v>1</v>
      </c>
      <c r="I576" s="182">
        <f>SUMIFS(Table1[Estimação (horas)],Table1[Tabela],Plano_V3!E576,Table1[Campo],Plano_V3!F576)</f>
        <v>0.1</v>
      </c>
      <c r="J576" s="182">
        <f t="shared" si="75"/>
        <v>1.2500000000000001E-2</v>
      </c>
      <c r="K576" s="182">
        <f>SUMIFS(Table1[Horas efetivas],Table1[Tabela],Plano_V3!E576,Table1[Campo],Plano_V3!F576)</f>
        <v>0.1</v>
      </c>
      <c r="L576" s="182">
        <f t="shared" si="76"/>
        <v>1.2500000000000001E-2</v>
      </c>
      <c r="M576" s="184"/>
      <c r="N576" s="184">
        <f t="shared" si="77"/>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4"/>
        <v>lt006_instr_protdt_rfrnc</v>
      </c>
      <c r="B577" s="68" t="s">
        <v>26</v>
      </c>
      <c r="C577" s="69" t="s">
        <v>26</v>
      </c>
      <c r="D577" s="65" t="s">
        <v>40</v>
      </c>
      <c r="E577" s="71" t="s">
        <v>442</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5"/>
        <v>1.2500000000000001E-2</v>
      </c>
      <c r="K577" s="182">
        <f>SUMIFS(Table1[Horas efetivas],Table1[Tabela],Plano_V3!E577,Table1[Campo],Plano_V3!F577)</f>
        <v>0.1</v>
      </c>
      <c r="L577" s="182">
        <f t="shared" si="76"/>
        <v>1.2500000000000001E-2</v>
      </c>
      <c r="M577" s="184"/>
      <c r="N577" s="184">
        <f t="shared" si="77"/>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4"/>
        <v>lt006_instr_protinstrmnt_id</v>
      </c>
      <c r="B578" s="68" t="s">
        <v>26</v>
      </c>
      <c r="C578" s="69" t="s">
        <v>26</v>
      </c>
      <c r="D578" s="65" t="s">
        <v>40</v>
      </c>
      <c r="E578" s="71" t="s">
        <v>442</v>
      </c>
      <c r="F578" s="72" t="s">
        <v>401</v>
      </c>
      <c r="G578" s="65" t="str">
        <f>INDEX(Auxiliar!$B$16:$B$24,MATCH(Plano_V3!H578,Auxiliar!$C$16:$C$24,0),1)</f>
        <v>1. Concluído</v>
      </c>
      <c r="H578" s="65">
        <f>VLOOKUP(A578,'Aux - pivots1'!$A:$B,2,0)</f>
        <v>1</v>
      </c>
      <c r="I578" s="182">
        <f>SUMIFS(Table1[Estimação (horas)],Table1[Tabela],Plano_V3!E578,Table1[Campo],Plano_V3!F578)</f>
        <v>0.1</v>
      </c>
      <c r="J578" s="182">
        <f t="shared" si="75"/>
        <v>1.2500000000000001E-2</v>
      </c>
      <c r="K578" s="182">
        <f>SUMIFS(Table1[Horas efetivas],Table1[Tabela],Plano_V3!E578,Table1[Campo],Plano_V3!F578)</f>
        <v>0.1</v>
      </c>
      <c r="L578" s="182">
        <f t="shared" si="76"/>
        <v>1.2500000000000001E-2</v>
      </c>
      <c r="M578" s="184"/>
      <c r="N578" s="184">
        <f t="shared" si="77"/>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4"/>
        <v>lt006_instr_protprtctn_id</v>
      </c>
      <c r="B579" s="68" t="s">
        <v>26</v>
      </c>
      <c r="C579" s="69" t="s">
        <v>26</v>
      </c>
      <c r="D579" s="65" t="s">
        <v>40</v>
      </c>
      <c r="E579" s="71" t="s">
        <v>442</v>
      </c>
      <c r="F579" s="72" t="s">
        <v>434</v>
      </c>
      <c r="G579" s="65" t="str">
        <f>INDEX(Auxiliar!$B$16:$B$24,MATCH(Plano_V3!H579,Auxiliar!$C$16:$C$24,0),1)</f>
        <v>1. Concluído</v>
      </c>
      <c r="H579" s="65">
        <f>VLOOKUP(A579,'Aux - pivots1'!$A:$B,2,0)</f>
        <v>1</v>
      </c>
      <c r="I579" s="182">
        <f>SUMIFS(Table1[Estimação (horas)],Table1[Tabela],Plano_V3!E579,Table1[Campo],Plano_V3!F579)</f>
        <v>0.1</v>
      </c>
      <c r="J579" s="182">
        <f t="shared" si="75"/>
        <v>1.2500000000000001E-2</v>
      </c>
      <c r="K579" s="182">
        <f>SUMIFS(Table1[Horas efetivas],Table1[Tabela],Plano_V3!E579,Table1[Campo],Plano_V3!F579)</f>
        <v>0.1</v>
      </c>
      <c r="L579" s="182">
        <f t="shared" si="76"/>
        <v>1.2500000000000001E-2</v>
      </c>
      <c r="M579" s="184"/>
      <c r="N579" s="184">
        <f t="shared" si="77"/>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4"/>
        <v>lt006_instr_protprtctn_allctd_vl</v>
      </c>
      <c r="B580" s="68" t="s">
        <v>26</v>
      </c>
      <c r="C580" s="69" t="s">
        <v>26</v>
      </c>
      <c r="D580" s="65" t="s">
        <v>40</v>
      </c>
      <c r="E580" s="71" t="s">
        <v>442</v>
      </c>
      <c r="F580" s="72" t="s">
        <v>443</v>
      </c>
      <c r="G580" s="65" t="str">
        <f>INDEX(Auxiliar!$B$16:$B$24,MATCH(Plano_V3!H580,Auxiliar!$C$16:$C$24,0),1)</f>
        <v>1. Concluído</v>
      </c>
      <c r="H580" s="65">
        <f>VLOOKUP(A580,'Aux - pivots1'!$A:$B,2,0)</f>
        <v>1</v>
      </c>
      <c r="I580" s="182">
        <f>SUMIFS(Table1[Estimação (horas)],Table1[Tabela],Plano_V3!E580,Table1[Campo],Plano_V3!F580)</f>
        <v>0.1</v>
      </c>
      <c r="J580" s="182">
        <f t="shared" si="75"/>
        <v>1.2500000000000001E-2</v>
      </c>
      <c r="K580" s="182">
        <f>SUMIFS(Table1[Horas efetivas],Table1[Tabela],Plano_V3!E580,Table1[Campo],Plano_V3!F580)</f>
        <v>0.1</v>
      </c>
      <c r="L580" s="182">
        <f t="shared" si="76"/>
        <v>1.2500000000000001E-2</v>
      </c>
      <c r="M580" s="184"/>
      <c r="N580" s="184">
        <f t="shared" si="77"/>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4"/>
        <v>lt006_instr_protcod_soc</v>
      </c>
      <c r="B581" s="68" t="s">
        <v>26</v>
      </c>
      <c r="C581" s="69" t="s">
        <v>26</v>
      </c>
      <c r="D581" s="65" t="s">
        <v>40</v>
      </c>
      <c r="E581" s="71" t="s">
        <v>442</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75"/>
        <v>1.2500000000000001E-2</v>
      </c>
      <c r="K581" s="182">
        <f>SUMIFS(Table1[Horas efetivas],Table1[Tabela],Plano_V3!E581,Table1[Campo],Plano_V3!F581)</f>
        <v>0.1</v>
      </c>
      <c r="L581" s="182">
        <f t="shared" si="76"/>
        <v>1.2500000000000001E-2</v>
      </c>
      <c r="M581" s="184"/>
      <c r="N581" s="184">
        <f t="shared" si="77"/>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4"/>
        <v>lt004_protectionflg_fin</v>
      </c>
      <c r="B582" s="68"/>
      <c r="C582" s="69"/>
      <c r="D582" s="65" t="s">
        <v>40</v>
      </c>
      <c r="E582" s="71" t="s">
        <v>369</v>
      </c>
      <c r="F582" s="72" t="s">
        <v>481</v>
      </c>
      <c r="G582" s="65" t="str">
        <f>INDEX(Auxiliar!$B$16:$B$24,MATCH(Plano_V3!H582,Auxiliar!$C$16:$C$24,0),1)</f>
        <v>6. Em implementação (re-especificação)</v>
      </c>
      <c r="H582" s="65">
        <f>VLOOKUP(A582,'Aux - pivots1'!$A:$B,2,0)</f>
        <v>7</v>
      </c>
      <c r="I582" s="182">
        <f>SUMIFS(Table1[Estimação (horas)],Table1[Tabela],Plano_V3!E582,Table1[Campo],Plano_V3!F582)</f>
        <v>4.0999999999999996</v>
      </c>
      <c r="J582" s="182">
        <f t="shared" si="75"/>
        <v>0.51249999999999996</v>
      </c>
      <c r="K582" s="182">
        <f>SUMIFS(Table1[Horas efetivas],Table1[Tabela],Plano_V3!E582,Table1[Campo],Plano_V3!F582)</f>
        <v>1.0249999999999999</v>
      </c>
      <c r="L582" s="182">
        <f t="shared" si="76"/>
        <v>0.12812499999999999</v>
      </c>
      <c r="M582" s="184"/>
      <c r="N582" s="184">
        <f t="shared" si="77"/>
        <v>0.25</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4"/>
        <v>lt004_protectionflg_exec</v>
      </c>
      <c r="B583" s="68"/>
      <c r="C583" s="69"/>
      <c r="D583" s="65" t="s">
        <v>40</v>
      </c>
      <c r="E583" s="71" t="s">
        <v>369</v>
      </c>
      <c r="F583" s="72" t="s">
        <v>1379</v>
      </c>
      <c r="G583" s="65" t="str">
        <f>INDEX(Auxiliar!$B$16:$B$24,MATCH(Plano_V3!H583,Auxiliar!$C$16:$C$24,0),1)</f>
        <v>6. Em implementação (re-especificação)</v>
      </c>
      <c r="H583" s="65">
        <f>VLOOKUP(A583,'Aux - pivots1'!$A:$B,2,0)</f>
        <v>7</v>
      </c>
      <c r="I583" s="182">
        <f>SUMIFS(Table1[Estimação (horas)],Table1[Tabela],Plano_V3!E583,Table1[Campo],Plano_V3!F583)</f>
        <v>4.0999999999999996</v>
      </c>
      <c r="J583" s="182">
        <f t="shared" si="75"/>
        <v>0.51249999999999996</v>
      </c>
      <c r="K583" s="182">
        <f>SUMIFS(Table1[Horas efetivas],Table1[Tabela],Plano_V3!E583,Table1[Campo],Plano_V3!F583)</f>
        <v>1.0249999999999999</v>
      </c>
      <c r="L583" s="182">
        <f t="shared" si="76"/>
        <v>0.12812499999999999</v>
      </c>
      <c r="M583" s="184"/>
      <c r="N583" s="184">
        <f t="shared" si="77"/>
        <v>0.25</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4"/>
        <v>lt004_protectionflg_col</v>
      </c>
      <c r="B584" s="68"/>
      <c r="C584" s="69"/>
      <c r="D584" s="65" t="s">
        <v>40</v>
      </c>
      <c r="E584" s="71" t="s">
        <v>369</v>
      </c>
      <c r="F584" s="72" t="s">
        <v>480</v>
      </c>
      <c r="G584" s="65" t="str">
        <f>INDEX(Auxiliar!$B$16:$B$24,MATCH(Plano_V3!H584,Auxiliar!$C$16:$C$24,0),1)</f>
        <v>6. Em implementação (re-especificação)</v>
      </c>
      <c r="H584" s="65">
        <f>VLOOKUP(A584,'Aux - pivots1'!$A:$B,2,0)</f>
        <v>7</v>
      </c>
      <c r="I584" s="182">
        <f>SUMIFS(Table1[Estimação (horas)],Table1[Tabela],Plano_V3!E584,Table1[Campo],Plano_V3!F584)</f>
        <v>4.0999999999999996</v>
      </c>
      <c r="J584" s="182">
        <f t="shared" ref="J584:J585" si="78">I584/8</f>
        <v>0.51249999999999996</v>
      </c>
      <c r="K584" s="182">
        <f>SUMIFS(Table1[Horas efetivas],Table1[Tabela],Plano_V3!E584,Table1[Campo],Plano_V3!F584)</f>
        <v>1.0249999999999999</v>
      </c>
      <c r="L584" s="182">
        <f t="shared" ref="L584:L585" si="79">K584/8</f>
        <v>0.12812499999999999</v>
      </c>
      <c r="M584" s="184"/>
      <c r="N584" s="184">
        <f t="shared" si="77"/>
        <v>0.25</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4"/>
        <v>lt004_protectionflg_pro</v>
      </c>
      <c r="B585" s="68"/>
      <c r="C585" s="69"/>
      <c r="D585" s="65" t="s">
        <v>40</v>
      </c>
      <c r="E585" s="71" t="s">
        <v>369</v>
      </c>
      <c r="F585" s="72" t="s">
        <v>482</v>
      </c>
      <c r="G585" s="65" t="str">
        <f>INDEX(Auxiliar!$B$16:$B$24,MATCH(Plano_V3!H585,Auxiliar!$C$16:$C$24,0),1)</f>
        <v>6. Em implementação (re-especificação)</v>
      </c>
      <c r="H585" s="65">
        <f>VLOOKUP(A585,'Aux - pivots1'!$A:$B,2,0)</f>
        <v>7</v>
      </c>
      <c r="I585" s="182">
        <f>SUMIFS(Table1[Estimação (horas)],Table1[Tabela],Plano_V3!E585,Table1[Campo],Plano_V3!F585)</f>
        <v>4.0999999999999996</v>
      </c>
      <c r="J585" s="182">
        <f t="shared" si="78"/>
        <v>0.51249999999999996</v>
      </c>
      <c r="K585" s="182">
        <f>SUMIFS(Table1[Horas efetivas],Table1[Tabela],Plano_V3!E585,Table1[Campo],Plano_V3!F585)</f>
        <v>1.0249999999999999</v>
      </c>
      <c r="L585" s="182">
        <f t="shared" si="79"/>
        <v>0.12812499999999999</v>
      </c>
      <c r="M585" s="184"/>
      <c r="N585" s="184">
        <f t="shared" si="77"/>
        <v>0.25</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4"/>
        <v>Re-testesn.a.</v>
      </c>
      <c r="B586" s="68" t="s">
        <v>26</v>
      </c>
      <c r="C586" s="69" t="s">
        <v>26</v>
      </c>
      <c r="D586" s="65" t="s">
        <v>40</v>
      </c>
      <c r="E586" s="67" t="s">
        <v>53</v>
      </c>
      <c r="F586" s="65" t="s">
        <v>38</v>
      </c>
      <c r="G586" s="65" t="s">
        <v>28</v>
      </c>
      <c r="H586" s="65"/>
      <c r="I586" s="182">
        <f>SUM(I456:I581)*$D$7</f>
        <v>37.575000000000152</v>
      </c>
      <c r="J586" s="182">
        <f>I586/8</f>
        <v>4.696875000000019</v>
      </c>
      <c r="K586" s="182">
        <f>SUM(K456:K581)*$D$7</f>
        <v>13.909374999999963</v>
      </c>
      <c r="L586" s="182">
        <f>K586/8</f>
        <v>1.7386718749999954</v>
      </c>
      <c r="M586" s="184"/>
      <c r="N586" s="184">
        <f t="shared" si="77"/>
        <v>0.37017631403858703</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t="10.199999999999999" customHeight="1">
      <c r="D587" s="12"/>
      <c r="O587"/>
      <c r="AY587" t="s">
        <v>444</v>
      </c>
    </row>
    <row r="588" spans="1:149">
      <c r="B588" s="83" t="s">
        <v>445</v>
      </c>
      <c r="C588" s="84"/>
      <c r="D588" s="84"/>
      <c r="E588" s="84"/>
      <c r="F588" s="84"/>
      <c r="G588" s="84"/>
      <c r="H588" s="84"/>
      <c r="I588" s="186"/>
      <c r="J588" s="186">
        <f>J24+J19+J14</f>
        <v>310</v>
      </c>
      <c r="K588" s="186"/>
      <c r="L588" s="186">
        <f>L24+L19+L14</f>
        <v>198.5</v>
      </c>
      <c r="M588" s="181">
        <f>((M24*J24)+(M19*J19)+(M14*J14))/J588</f>
        <v>0.59193548387096773</v>
      </c>
      <c r="N588" s="181">
        <f>((N24*L24)+(N19*L19)+(N14*L14))/L588</f>
        <v>0.73563096317887688</v>
      </c>
      <c r="O588" s="181">
        <f t="shared" ref="O588" si="80">N588-M588</f>
        <v>0.14369547930790916</v>
      </c>
      <c r="P588" s="183" t="s">
        <v>25</v>
      </c>
    </row>
    <row r="589" spans="1:149">
      <c r="O589"/>
    </row>
    <row r="590" spans="1:149"/>
  </sheetData>
  <conditionalFormatting sqref="O14:O17 O19:O22 O24:O586 O588">
    <cfRule type="cellIs" dxfId="109" priority="1" operator="lessThan">
      <formula>0</formula>
    </cfRule>
    <cfRule type="cellIs" dxfId="108" priority="2" operator="greaterThanOrEqual">
      <formula>0</formula>
    </cfRule>
  </conditionalFormatting>
  <conditionalFormatting sqref="Q15:Q17">
    <cfRule type="cellIs" dxfId="107" priority="28" operator="notEqual">
      <formula>0</formula>
    </cfRule>
  </conditionalFormatting>
  <conditionalFormatting sqref="Q20:Q22">
    <cfRule type="cellIs" dxfId="106" priority="20" operator="notEqual">
      <formula>0</formula>
    </cfRule>
  </conditionalFormatting>
  <conditionalFormatting sqref="Q25:Q455">
    <cfRule type="cellIs" dxfId="105" priority="10" operator="notEqual">
      <formula>0</formula>
    </cfRule>
  </conditionalFormatting>
  <conditionalFormatting sqref="R5:R6 S6:ES6">
    <cfRule type="cellIs" dxfId="104" priority="29" operator="notEqual">
      <formula>0</formula>
    </cfRule>
  </conditionalFormatting>
  <conditionalFormatting sqref="R15:ES17 R20:ES22 R25:ES25">
    <cfRule type="cellIs" dxfId="103" priority="27" operator="greaterThan">
      <formula>0</formula>
    </cfRule>
  </conditionalFormatting>
  <conditionalFormatting sqref="R40:ES40">
    <cfRule type="cellIs" dxfId="102" priority="25" operator="greaterThan">
      <formula>0</formula>
    </cfRule>
  </conditionalFormatting>
  <conditionalFormatting sqref="R203:ES203">
    <cfRule type="cellIs" dxfId="101" priority="24" operator="greaterThan">
      <formula>0</formula>
    </cfRule>
  </conditionalFormatting>
  <conditionalFormatting sqref="R370:ES370">
    <cfRule type="cellIs" dxfId="100" priority="23" operator="greaterThan">
      <formula>0</formula>
    </cfRule>
  </conditionalFormatting>
  <conditionalFormatting sqref="R455:ES455">
    <cfRule type="cellIs" dxfId="99"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G14:G586</xm:sqref>
        </x14:conditionalFormatting>
        <x14:conditionalFormatting xmlns:xm="http://schemas.microsoft.com/office/excel/2006/main">
          <x14:cfRule type="containsText" priority="3" operator="containsText" id="{AED6586C-F5C5-4BFE-8FE3-DBEA2E1C7F8C}">
            <xm:f>NOT(ISERROR(SEARCH(Auxiliar!$B$17,G588)))</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NOT(ISERROR(SEARCH(Auxiliar!$B$21,G588)))</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NOT(ISERROR(SEARCH(Auxiliar!$B$24,G588)))</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NOT(ISERROR(SEARCH(Auxiliar!$B$22,G588)))</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NOT(ISERROR(SEARCH(Auxiliar!$B$19,G588)))</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NOT(ISERROR(SEARCH(Auxiliar!$B$18,G588)))</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G202 G369 G454 G20:G22 G586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66"/>
  <sheetViews>
    <sheetView zoomScale="70" zoomScaleNormal="70" workbookViewId="0"/>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3</v>
      </c>
      <c r="C26" s="221"/>
      <c r="D26" s="221"/>
      <c r="E26" s="221"/>
    </row>
    <row r="27" spans="1:5">
      <c r="A27" t="s">
        <v>702</v>
      </c>
      <c r="B27" s="221">
        <v>3</v>
      </c>
      <c r="C27" s="221"/>
      <c r="D27" s="221"/>
      <c r="E27" s="221"/>
    </row>
    <row r="28" spans="1:5">
      <c r="A28" t="s">
        <v>703</v>
      </c>
      <c r="B28" s="221">
        <v>1</v>
      </c>
      <c r="C28" s="221"/>
      <c r="D28" s="221"/>
      <c r="E28" s="221"/>
    </row>
    <row r="29" spans="1:5">
      <c r="A29" t="s">
        <v>704</v>
      </c>
      <c r="B29" s="221">
        <v>3</v>
      </c>
      <c r="C29" s="175">
        <v>45593</v>
      </c>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3</v>
      </c>
      <c r="C43" s="221"/>
      <c r="D43" s="221"/>
      <c r="E43" s="221"/>
    </row>
    <row r="44" spans="1:5">
      <c r="A44" t="s">
        <v>719</v>
      </c>
      <c r="B44" s="221">
        <v>3</v>
      </c>
      <c r="C44" s="221"/>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3</v>
      </c>
      <c r="C110" s="221"/>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804</v>
      </c>
      <c r="B129" s="221">
        <v>7</v>
      </c>
      <c r="C129" s="175">
        <v>45593</v>
      </c>
      <c r="D129" s="221"/>
      <c r="E129" s="221"/>
    </row>
    <row r="130" spans="1:5">
      <c r="A130" t="s">
        <v>805</v>
      </c>
      <c r="B130" s="221">
        <v>7</v>
      </c>
      <c r="C130" s="175">
        <v>45593</v>
      </c>
      <c r="D130" s="221"/>
      <c r="E130" s="221"/>
    </row>
    <row r="131" spans="1:5">
      <c r="A131" t="s">
        <v>806</v>
      </c>
      <c r="B131" s="221">
        <v>7</v>
      </c>
      <c r="C131" s="175">
        <v>45593</v>
      </c>
      <c r="D131" s="221"/>
      <c r="E131" s="221"/>
    </row>
    <row r="132" spans="1:5">
      <c r="A132" t="s">
        <v>807</v>
      </c>
      <c r="B132" s="221">
        <v>7</v>
      </c>
      <c r="C132" s="175">
        <v>45593</v>
      </c>
      <c r="D132" s="221"/>
      <c r="E132" s="221"/>
    </row>
    <row r="133" spans="1:5">
      <c r="A133" t="s">
        <v>808</v>
      </c>
      <c r="B133" s="221">
        <v>7</v>
      </c>
      <c r="C133" s="175">
        <v>45593</v>
      </c>
      <c r="D133" s="221"/>
      <c r="E133" s="221"/>
    </row>
    <row r="134" spans="1:5">
      <c r="A134" t="s">
        <v>809</v>
      </c>
      <c r="B134" s="221">
        <v>7</v>
      </c>
      <c r="C134" s="175">
        <v>45593</v>
      </c>
      <c r="D134" s="221"/>
      <c r="E134" s="221"/>
    </row>
    <row r="135" spans="1:5">
      <c r="A135" t="s">
        <v>810</v>
      </c>
      <c r="B135" s="221">
        <v>7</v>
      </c>
      <c r="C135" s="175">
        <v>45593</v>
      </c>
      <c r="D135" s="221"/>
      <c r="E135" s="221"/>
    </row>
    <row r="136" spans="1:5">
      <c r="A136" t="s">
        <v>811</v>
      </c>
      <c r="B136" s="221">
        <v>7</v>
      </c>
      <c r="C136" s="175">
        <v>45593</v>
      </c>
      <c r="D136" s="221"/>
      <c r="E136" s="221"/>
    </row>
    <row r="137" spans="1:5">
      <c r="A137" t="s">
        <v>812</v>
      </c>
      <c r="B137" s="221">
        <v>7</v>
      </c>
      <c r="C137" s="175">
        <v>45593</v>
      </c>
      <c r="D137" s="221"/>
      <c r="E137" s="221"/>
    </row>
    <row r="138" spans="1:5">
      <c r="A138" t="s">
        <v>813</v>
      </c>
      <c r="B138" s="221">
        <v>1</v>
      </c>
      <c r="C138" s="221"/>
      <c r="D138" s="221"/>
      <c r="E138" s="221"/>
    </row>
    <row r="139" spans="1:5">
      <c r="A139" t="s">
        <v>814</v>
      </c>
      <c r="B139" s="221">
        <v>1</v>
      </c>
      <c r="C139" s="221"/>
      <c r="D139" s="221"/>
      <c r="E139" s="221"/>
    </row>
    <row r="140" spans="1:5">
      <c r="A140" t="s">
        <v>815</v>
      </c>
      <c r="B140" s="221">
        <v>1</v>
      </c>
      <c r="C140" s="221"/>
      <c r="D140" s="221"/>
      <c r="E140" s="221"/>
    </row>
    <row r="141" spans="1:5">
      <c r="A141" t="s">
        <v>816</v>
      </c>
      <c r="B141" s="221">
        <v>1</v>
      </c>
      <c r="C141" s="221"/>
      <c r="D141" s="221"/>
      <c r="E141" s="221"/>
    </row>
    <row r="142" spans="1:5">
      <c r="A142" t="s">
        <v>817</v>
      </c>
      <c r="B142" s="221">
        <v>1</v>
      </c>
      <c r="C142" s="221"/>
      <c r="D142" s="221"/>
      <c r="E142" s="221"/>
    </row>
    <row r="143" spans="1:5">
      <c r="A143" t="s">
        <v>818</v>
      </c>
      <c r="B143" s="221">
        <v>1</v>
      </c>
      <c r="C143" s="221"/>
      <c r="D143" s="221"/>
      <c r="E143" s="221"/>
    </row>
    <row r="144" spans="1:5">
      <c r="A144" t="s">
        <v>819</v>
      </c>
      <c r="B144" s="221">
        <v>1</v>
      </c>
      <c r="C144" s="221"/>
      <c r="D144" s="221"/>
      <c r="E144" s="221"/>
    </row>
    <row r="145" spans="1:5">
      <c r="A145" t="s">
        <v>820</v>
      </c>
      <c r="B145" s="221">
        <v>1</v>
      </c>
      <c r="C145" s="221"/>
      <c r="D145" s="221"/>
      <c r="E145" s="221"/>
    </row>
    <row r="146" spans="1:5">
      <c r="A146" t="s">
        <v>821</v>
      </c>
      <c r="B146" s="221">
        <v>1</v>
      </c>
      <c r="C146" s="221"/>
      <c r="D146" s="221"/>
      <c r="E146" s="221"/>
    </row>
    <row r="147" spans="1:5">
      <c r="A147" t="s">
        <v>822</v>
      </c>
      <c r="B147" s="221">
        <v>1</v>
      </c>
      <c r="C147" s="221"/>
      <c r="D147" s="175">
        <v>45603</v>
      </c>
      <c r="E147" s="221"/>
    </row>
    <row r="148" spans="1:5">
      <c r="A148" t="s">
        <v>823</v>
      </c>
      <c r="B148" s="221">
        <v>1</v>
      </c>
      <c r="C148" s="221"/>
      <c r="D148" s="175">
        <v>45603</v>
      </c>
      <c r="E148" s="221"/>
    </row>
    <row r="149" spans="1:5">
      <c r="A149" t="s">
        <v>824</v>
      </c>
      <c r="B149" s="221">
        <v>1</v>
      </c>
      <c r="C149" s="221"/>
      <c r="D149" s="175">
        <v>45603</v>
      </c>
      <c r="E149" s="221"/>
    </row>
    <row r="150" spans="1:5">
      <c r="A150" t="s">
        <v>825</v>
      </c>
      <c r="B150" s="221">
        <v>1</v>
      </c>
      <c r="C150" s="221"/>
      <c r="D150" s="175">
        <v>45603</v>
      </c>
      <c r="E150" s="221"/>
    </row>
    <row r="151" spans="1:5">
      <c r="A151" t="s">
        <v>826</v>
      </c>
      <c r="B151" s="221">
        <v>1</v>
      </c>
      <c r="C151" s="221"/>
      <c r="D151" s="175">
        <v>45603</v>
      </c>
      <c r="E151" s="221"/>
    </row>
    <row r="152" spans="1:5">
      <c r="A152" t="s">
        <v>827</v>
      </c>
      <c r="B152" s="221">
        <v>1</v>
      </c>
      <c r="C152" s="221"/>
      <c r="D152" s="175">
        <v>45603</v>
      </c>
      <c r="E152" s="221"/>
    </row>
    <row r="153" spans="1:5">
      <c r="A153" t="s">
        <v>828</v>
      </c>
      <c r="B153" s="221">
        <v>1</v>
      </c>
      <c r="C153" s="221"/>
      <c r="D153" s="175">
        <v>45603</v>
      </c>
      <c r="E153" s="221"/>
    </row>
    <row r="154" spans="1:5">
      <c r="A154" t="s">
        <v>829</v>
      </c>
      <c r="B154" s="221">
        <v>1</v>
      </c>
      <c r="C154" s="221"/>
      <c r="D154" s="175">
        <v>45603</v>
      </c>
      <c r="E154" s="221"/>
    </row>
    <row r="155" spans="1:5">
      <c r="A155" t="s">
        <v>830</v>
      </c>
      <c r="B155" s="221">
        <v>1</v>
      </c>
      <c r="C155" s="221"/>
      <c r="D155" s="175">
        <v>45603</v>
      </c>
      <c r="E155" s="175">
        <v>45534</v>
      </c>
    </row>
    <row r="156" spans="1:5">
      <c r="A156" t="s">
        <v>831</v>
      </c>
      <c r="B156" s="221">
        <v>1</v>
      </c>
      <c r="C156" s="221"/>
      <c r="D156" s="175">
        <v>45603</v>
      </c>
      <c r="E156" s="175">
        <v>45534</v>
      </c>
    </row>
    <row r="157" spans="1:5">
      <c r="A157" t="s">
        <v>832</v>
      </c>
      <c r="B157" s="221">
        <v>1</v>
      </c>
      <c r="C157" s="221"/>
      <c r="D157" s="175">
        <v>45603</v>
      </c>
      <c r="E157" s="175">
        <v>45534</v>
      </c>
    </row>
    <row r="158" spans="1:5">
      <c r="A158" t="s">
        <v>833</v>
      </c>
      <c r="B158" s="221">
        <v>0</v>
      </c>
      <c r="C158" s="221"/>
      <c r="D158" s="175">
        <v>45534</v>
      </c>
      <c r="E158" s="175">
        <v>45534</v>
      </c>
    </row>
    <row r="159" spans="1:5">
      <c r="A159" t="s">
        <v>834</v>
      </c>
      <c r="B159" s="221">
        <v>1</v>
      </c>
      <c r="C159" s="221"/>
      <c r="D159" s="175">
        <v>45603</v>
      </c>
      <c r="E159" s="175">
        <v>45534</v>
      </c>
    </row>
    <row r="160" spans="1:5">
      <c r="A160" t="s">
        <v>835</v>
      </c>
      <c r="B160" s="221">
        <v>1</v>
      </c>
      <c r="C160" s="221"/>
      <c r="D160" s="175">
        <v>45603</v>
      </c>
      <c r="E160" s="175">
        <v>45534</v>
      </c>
    </row>
    <row r="161" spans="1:5">
      <c r="A161" t="s">
        <v>836</v>
      </c>
      <c r="B161" s="221">
        <v>1</v>
      </c>
      <c r="C161" s="221"/>
      <c r="D161" s="175">
        <v>45603</v>
      </c>
      <c r="E161" s="175">
        <v>45534</v>
      </c>
    </row>
    <row r="162" spans="1:5">
      <c r="A162" t="s">
        <v>837</v>
      </c>
      <c r="B162" s="221">
        <v>1</v>
      </c>
      <c r="C162" s="221"/>
      <c r="D162" s="175">
        <v>45603</v>
      </c>
      <c r="E162" s="175">
        <v>45534</v>
      </c>
    </row>
    <row r="163" spans="1:5">
      <c r="A163" t="s">
        <v>838</v>
      </c>
      <c r="B163" s="221">
        <v>1</v>
      </c>
      <c r="C163" s="221"/>
      <c r="D163" s="175">
        <v>45603</v>
      </c>
      <c r="E163" s="175">
        <v>45534</v>
      </c>
    </row>
    <row r="164" spans="1:5">
      <c r="A164" t="s">
        <v>839</v>
      </c>
      <c r="B164" s="221">
        <v>1</v>
      </c>
      <c r="C164" s="221"/>
      <c r="D164" s="175">
        <v>45603</v>
      </c>
      <c r="E164" s="175">
        <v>45534</v>
      </c>
    </row>
    <row r="165" spans="1:5">
      <c r="A165" t="s">
        <v>840</v>
      </c>
      <c r="B165" s="221">
        <v>1</v>
      </c>
      <c r="C165" s="221"/>
      <c r="D165" s="175">
        <v>45603</v>
      </c>
      <c r="E165" s="175">
        <v>45534</v>
      </c>
    </row>
    <row r="166" spans="1:5">
      <c r="A166" t="s">
        <v>841</v>
      </c>
      <c r="B166" s="221">
        <v>1</v>
      </c>
      <c r="C166" s="221"/>
      <c r="D166" s="175">
        <v>45603</v>
      </c>
      <c r="E166" s="175">
        <v>45534</v>
      </c>
    </row>
    <row r="167" spans="1:5">
      <c r="A167" t="s">
        <v>842</v>
      </c>
      <c r="B167" s="221">
        <v>1</v>
      </c>
      <c r="C167" s="221"/>
      <c r="D167" s="175">
        <v>45603</v>
      </c>
      <c r="E167" s="175">
        <v>45534</v>
      </c>
    </row>
    <row r="168" spans="1:5">
      <c r="A168" t="s">
        <v>843</v>
      </c>
      <c r="B168" s="221">
        <v>1</v>
      </c>
      <c r="C168" s="221"/>
      <c r="D168" s="175">
        <v>45603</v>
      </c>
      <c r="E168" s="175">
        <v>45534</v>
      </c>
    </row>
    <row r="169" spans="1:5">
      <c r="A169" t="s">
        <v>844</v>
      </c>
      <c r="B169" s="221">
        <v>1</v>
      </c>
      <c r="C169" s="221"/>
      <c r="D169" s="175">
        <v>45603</v>
      </c>
      <c r="E169" s="175">
        <v>45534</v>
      </c>
    </row>
    <row r="170" spans="1:5">
      <c r="A170" t="s">
        <v>845</v>
      </c>
      <c r="B170" s="221">
        <v>1</v>
      </c>
      <c r="C170" s="221"/>
      <c r="D170" s="175">
        <v>45603</v>
      </c>
      <c r="E170" s="175">
        <v>45534</v>
      </c>
    </row>
    <row r="171" spans="1:5">
      <c r="A171" t="s">
        <v>846</v>
      </c>
      <c r="B171" s="221">
        <v>1</v>
      </c>
      <c r="C171" s="221"/>
      <c r="D171" s="175">
        <v>45603</v>
      </c>
      <c r="E171" s="175">
        <v>45534</v>
      </c>
    </row>
    <row r="172" spans="1:5">
      <c r="A172" t="s">
        <v>847</v>
      </c>
      <c r="B172" s="221">
        <v>1</v>
      </c>
      <c r="C172" s="221"/>
      <c r="D172" s="175">
        <v>45603</v>
      </c>
      <c r="E172" s="175">
        <v>45534</v>
      </c>
    </row>
    <row r="173" spans="1:5">
      <c r="A173" t="s">
        <v>848</v>
      </c>
      <c r="B173" s="221">
        <v>1</v>
      </c>
      <c r="C173" s="221"/>
      <c r="D173" s="175">
        <v>45603</v>
      </c>
      <c r="E173" s="175">
        <v>45534</v>
      </c>
    </row>
    <row r="174" spans="1:5">
      <c r="A174" t="s">
        <v>849</v>
      </c>
      <c r="B174" s="221">
        <v>1</v>
      </c>
      <c r="C174" s="221"/>
      <c r="D174" s="175">
        <v>45603</v>
      </c>
      <c r="E174" s="221"/>
    </row>
    <row r="175" spans="1:5">
      <c r="A175" t="s">
        <v>850</v>
      </c>
      <c r="B175" s="221">
        <v>0</v>
      </c>
      <c r="C175" s="221"/>
      <c r="D175" s="221"/>
      <c r="E175" s="221"/>
    </row>
    <row r="176" spans="1:5">
      <c r="A176" t="s">
        <v>851</v>
      </c>
      <c r="B176" s="221">
        <v>1</v>
      </c>
      <c r="C176" s="221"/>
      <c r="D176" s="175">
        <v>45603</v>
      </c>
      <c r="E176" s="221"/>
    </row>
    <row r="177" spans="1:5">
      <c r="A177" t="s">
        <v>852</v>
      </c>
      <c r="B177" s="221">
        <v>1</v>
      </c>
      <c r="C177" s="221"/>
      <c r="D177" s="175">
        <v>45603</v>
      </c>
      <c r="E177" s="221"/>
    </row>
    <row r="178" spans="1:5">
      <c r="A178" t="s">
        <v>853</v>
      </c>
      <c r="B178" s="221">
        <v>1</v>
      </c>
      <c r="C178" s="221"/>
      <c r="D178" s="175">
        <v>45603</v>
      </c>
      <c r="E178" s="221"/>
    </row>
    <row r="179" spans="1:5">
      <c r="A179" t="s">
        <v>854</v>
      </c>
      <c r="B179" s="221">
        <v>0</v>
      </c>
      <c r="C179" s="221"/>
      <c r="D179" s="221"/>
      <c r="E179" s="221"/>
    </row>
    <row r="180" spans="1:5">
      <c r="A180" t="s">
        <v>855</v>
      </c>
      <c r="B180" s="221">
        <v>1</v>
      </c>
      <c r="C180" s="221"/>
      <c r="D180" s="175">
        <v>45603</v>
      </c>
      <c r="E180" s="221"/>
    </row>
    <row r="181" spans="1:5">
      <c r="A181" t="s">
        <v>856</v>
      </c>
      <c r="B181" s="221">
        <v>1</v>
      </c>
      <c r="C181" s="221"/>
      <c r="D181" s="175">
        <v>45603</v>
      </c>
      <c r="E181" s="221"/>
    </row>
    <row r="182" spans="1:5">
      <c r="A182" t="s">
        <v>857</v>
      </c>
      <c r="B182" s="221">
        <v>1</v>
      </c>
      <c r="C182" s="221"/>
      <c r="D182" s="175">
        <v>45603</v>
      </c>
      <c r="E182" s="221"/>
    </row>
    <row r="183" spans="1:5">
      <c r="A183" t="s">
        <v>858</v>
      </c>
      <c r="B183" s="221">
        <v>0</v>
      </c>
      <c r="C183" s="221"/>
      <c r="D183" s="221"/>
      <c r="E183" s="221"/>
    </row>
    <row r="184" spans="1:5">
      <c r="A184" t="s">
        <v>859</v>
      </c>
      <c r="B184" s="221">
        <v>1</v>
      </c>
      <c r="C184" s="221"/>
      <c r="D184" s="175">
        <v>45603</v>
      </c>
      <c r="E184" s="221"/>
    </row>
    <row r="185" spans="1:5">
      <c r="A185" t="s">
        <v>860</v>
      </c>
      <c r="B185" s="221">
        <v>1</v>
      </c>
      <c r="C185" s="221"/>
      <c r="D185" s="175">
        <v>45603</v>
      </c>
      <c r="E185" s="221"/>
    </row>
    <row r="186" spans="1:5">
      <c r="A186" t="s">
        <v>861</v>
      </c>
      <c r="B186" s="221">
        <v>1</v>
      </c>
      <c r="C186" s="221"/>
      <c r="D186" s="175">
        <v>45603</v>
      </c>
      <c r="E186" s="221"/>
    </row>
    <row r="187" spans="1:5">
      <c r="A187" t="s">
        <v>862</v>
      </c>
      <c r="B187" s="221">
        <v>1</v>
      </c>
      <c r="C187" s="221"/>
      <c r="D187" s="175">
        <v>45603</v>
      </c>
      <c r="E187" s="221"/>
    </row>
    <row r="188" spans="1:5">
      <c r="A188" t="s">
        <v>863</v>
      </c>
      <c r="B188" s="221">
        <v>1</v>
      </c>
      <c r="C188" s="221"/>
      <c r="D188" s="175">
        <v>45603</v>
      </c>
      <c r="E188" s="221"/>
    </row>
    <row r="189" spans="1:5">
      <c r="A189" t="s">
        <v>864</v>
      </c>
      <c r="B189" s="221">
        <v>1</v>
      </c>
      <c r="C189" s="221"/>
      <c r="D189" s="175">
        <v>45603</v>
      </c>
      <c r="E189" s="221"/>
    </row>
    <row r="190" spans="1:5">
      <c r="A190" t="s">
        <v>865</v>
      </c>
      <c r="B190" s="221">
        <v>0</v>
      </c>
      <c r="C190" s="221"/>
      <c r="D190" s="221"/>
      <c r="E190" s="221"/>
    </row>
    <row r="191" spans="1:5">
      <c r="A191" t="s">
        <v>866</v>
      </c>
      <c r="B191" s="221">
        <v>0</v>
      </c>
      <c r="C191" s="221"/>
      <c r="D191" s="221"/>
      <c r="E191" s="221"/>
    </row>
    <row r="192" spans="1:5">
      <c r="A192" t="s">
        <v>867</v>
      </c>
      <c r="B192" s="221">
        <v>0</v>
      </c>
      <c r="C192" s="221"/>
      <c r="D192" s="221"/>
      <c r="E192" s="221"/>
    </row>
    <row r="193" spans="1:5">
      <c r="A193" t="s">
        <v>868</v>
      </c>
      <c r="B193" s="221">
        <v>1</v>
      </c>
      <c r="C193" s="221"/>
      <c r="D193" s="175">
        <v>45603</v>
      </c>
      <c r="E193" s="221"/>
    </row>
    <row r="194" spans="1:5">
      <c r="A194" t="s">
        <v>869</v>
      </c>
      <c r="B194" s="221">
        <v>1</v>
      </c>
      <c r="C194" s="221"/>
      <c r="D194" s="175">
        <v>45603</v>
      </c>
      <c r="E194" s="221"/>
    </row>
    <row r="195" spans="1:5">
      <c r="A195" t="s">
        <v>870</v>
      </c>
      <c r="B195" s="221">
        <v>0</v>
      </c>
      <c r="C195" s="221"/>
      <c r="D195" s="221"/>
      <c r="E195" s="221"/>
    </row>
    <row r="196" spans="1:5">
      <c r="A196" t="s">
        <v>871</v>
      </c>
      <c r="B196" s="221">
        <v>1</v>
      </c>
      <c r="C196" s="221"/>
      <c r="D196" s="175">
        <v>45603</v>
      </c>
      <c r="E196" s="221"/>
    </row>
    <row r="197" spans="1:5">
      <c r="A197" t="s">
        <v>872</v>
      </c>
      <c r="B197" s="221">
        <v>1</v>
      </c>
      <c r="C197" s="221"/>
      <c r="D197" s="175">
        <v>45603</v>
      </c>
      <c r="E197" s="221"/>
    </row>
    <row r="198" spans="1:5">
      <c r="A198" t="s">
        <v>873</v>
      </c>
      <c r="B198" s="221">
        <v>1</v>
      </c>
      <c r="C198" s="221"/>
      <c r="D198" s="175">
        <v>45603</v>
      </c>
      <c r="E198" s="221"/>
    </row>
    <row r="199" spans="1:5">
      <c r="A199" t="s">
        <v>874</v>
      </c>
      <c r="B199" s="221">
        <v>1</v>
      </c>
      <c r="C199" s="221"/>
      <c r="D199" s="175">
        <v>45603</v>
      </c>
      <c r="E199" s="221"/>
    </row>
    <row r="200" spans="1:5">
      <c r="A200" t="s">
        <v>875</v>
      </c>
      <c r="B200" s="221">
        <v>1</v>
      </c>
      <c r="C200" s="221"/>
      <c r="D200" s="175">
        <v>45603</v>
      </c>
      <c r="E200" s="221"/>
    </row>
    <row r="201" spans="1:5">
      <c r="A201" t="s">
        <v>876</v>
      </c>
      <c r="B201" s="221">
        <v>1</v>
      </c>
      <c r="C201" s="221"/>
      <c r="D201" s="175">
        <v>45603</v>
      </c>
      <c r="E201" s="221"/>
    </row>
    <row r="202" spans="1:5">
      <c r="A202" t="s">
        <v>877</v>
      </c>
      <c r="B202" s="221">
        <v>1</v>
      </c>
      <c r="C202" s="221"/>
      <c r="D202" s="175">
        <v>45603</v>
      </c>
      <c r="E202" s="221"/>
    </row>
    <row r="203" spans="1:5">
      <c r="A203" t="s">
        <v>878</v>
      </c>
      <c r="B203" s="221">
        <v>1</v>
      </c>
      <c r="C203" s="221"/>
      <c r="D203" s="175">
        <v>45603</v>
      </c>
      <c r="E203" s="221"/>
    </row>
    <row r="204" spans="1:5">
      <c r="A204" t="s">
        <v>879</v>
      </c>
      <c r="B204" s="221">
        <v>1</v>
      </c>
      <c r="C204" s="221"/>
      <c r="D204" s="175">
        <v>45603</v>
      </c>
      <c r="E204" s="221"/>
    </row>
    <row r="205" spans="1:5">
      <c r="A205" t="s">
        <v>880</v>
      </c>
      <c r="B205" s="221">
        <v>1</v>
      </c>
      <c r="C205" s="221"/>
      <c r="D205" s="175">
        <v>45603</v>
      </c>
      <c r="E205" s="221"/>
    </row>
    <row r="206" spans="1:5">
      <c r="A206" t="s">
        <v>881</v>
      </c>
      <c r="B206" s="221">
        <v>1</v>
      </c>
      <c r="C206" s="221"/>
      <c r="D206" s="175">
        <v>45603</v>
      </c>
      <c r="E206" s="221"/>
    </row>
    <row r="207" spans="1:5">
      <c r="A207" t="s">
        <v>882</v>
      </c>
      <c r="B207" s="221">
        <v>1</v>
      </c>
      <c r="C207" s="221"/>
      <c r="D207" s="175">
        <v>45603</v>
      </c>
      <c r="E207" s="221"/>
    </row>
    <row r="208" spans="1:5">
      <c r="A208" t="s">
        <v>883</v>
      </c>
      <c r="B208" s="221">
        <v>1</v>
      </c>
      <c r="C208" s="221"/>
      <c r="D208" s="175">
        <v>45603</v>
      </c>
      <c r="E208" s="221"/>
    </row>
    <row r="209" spans="1:5">
      <c r="A209" t="s">
        <v>884</v>
      </c>
      <c r="B209" s="221">
        <v>1</v>
      </c>
      <c r="C209" s="221"/>
      <c r="D209" s="175">
        <v>45603</v>
      </c>
      <c r="E209" s="221"/>
    </row>
    <row r="210" spans="1:5">
      <c r="A210" t="s">
        <v>885</v>
      </c>
      <c r="B210" s="221">
        <v>1</v>
      </c>
      <c r="C210" s="221"/>
      <c r="D210" s="175">
        <v>45603</v>
      </c>
      <c r="E210" s="221"/>
    </row>
    <row r="211" spans="1:5">
      <c r="A211" t="s">
        <v>886</v>
      </c>
      <c r="B211" s="221">
        <v>1</v>
      </c>
      <c r="C211" s="175">
        <v>45491</v>
      </c>
      <c r="D211" s="175">
        <v>45603</v>
      </c>
      <c r="E211" s="175">
        <v>45499</v>
      </c>
    </row>
    <row r="212" spans="1:5">
      <c r="A212" t="s">
        <v>887</v>
      </c>
      <c r="B212" s="221">
        <v>1</v>
      </c>
      <c r="C212" s="175">
        <v>45491</v>
      </c>
      <c r="D212" s="175">
        <v>45603</v>
      </c>
      <c r="E212" s="175">
        <v>45499</v>
      </c>
    </row>
    <row r="213" spans="1:5">
      <c r="A213" t="s">
        <v>888</v>
      </c>
      <c r="B213" s="221">
        <v>1</v>
      </c>
      <c r="C213" s="221"/>
      <c r="D213" s="175">
        <v>45603</v>
      </c>
      <c r="E213" s="221"/>
    </row>
    <row r="214" spans="1:5">
      <c r="A214" t="s">
        <v>889</v>
      </c>
      <c r="B214" s="221">
        <v>1</v>
      </c>
      <c r="C214" s="221"/>
      <c r="D214" s="175">
        <v>45603</v>
      </c>
      <c r="E214" s="175">
        <v>45534</v>
      </c>
    </row>
    <row r="215" spans="1:5">
      <c r="A215" t="s">
        <v>890</v>
      </c>
      <c r="B215" s="221">
        <v>1</v>
      </c>
      <c r="C215" s="221"/>
      <c r="D215" s="175">
        <v>45603</v>
      </c>
      <c r="E215" s="175">
        <v>45534</v>
      </c>
    </row>
    <row r="216" spans="1:5">
      <c r="A216" t="s">
        <v>891</v>
      </c>
      <c r="B216" s="221">
        <v>1</v>
      </c>
      <c r="C216" s="175">
        <v>45471</v>
      </c>
      <c r="D216" s="175">
        <v>45603</v>
      </c>
      <c r="E216" s="175">
        <v>45534</v>
      </c>
    </row>
    <row r="217" spans="1:5">
      <c r="A217" t="s">
        <v>892</v>
      </c>
      <c r="B217" s="221">
        <v>1</v>
      </c>
      <c r="C217" s="221"/>
      <c r="D217" s="175">
        <v>45603</v>
      </c>
      <c r="E217" s="175">
        <v>45534</v>
      </c>
    </row>
    <row r="218" spans="1:5">
      <c r="A218" t="s">
        <v>893</v>
      </c>
      <c r="B218" s="221">
        <v>1</v>
      </c>
      <c r="C218" s="221"/>
      <c r="D218" s="175">
        <v>45603</v>
      </c>
      <c r="E218" s="175">
        <v>45534</v>
      </c>
    </row>
    <row r="219" spans="1:5">
      <c r="A219" t="s">
        <v>894</v>
      </c>
      <c r="B219" s="221">
        <v>1</v>
      </c>
      <c r="C219" s="221"/>
      <c r="D219" s="175">
        <v>45603</v>
      </c>
      <c r="E219" s="175">
        <v>45534</v>
      </c>
    </row>
    <row r="220" spans="1:5">
      <c r="A220" t="s">
        <v>895</v>
      </c>
      <c r="B220" s="221">
        <v>1</v>
      </c>
      <c r="C220" s="221"/>
      <c r="D220" s="175">
        <v>45603</v>
      </c>
      <c r="E220" s="175">
        <v>45534</v>
      </c>
    </row>
    <row r="221" spans="1:5">
      <c r="A221" t="s">
        <v>896</v>
      </c>
      <c r="B221" s="221">
        <v>1</v>
      </c>
      <c r="C221" s="221"/>
      <c r="D221" s="175">
        <v>45603</v>
      </c>
      <c r="E221" s="175">
        <v>45534</v>
      </c>
    </row>
    <row r="222" spans="1:5">
      <c r="A222" t="s">
        <v>897</v>
      </c>
      <c r="B222" s="221">
        <v>1</v>
      </c>
      <c r="C222" s="221"/>
      <c r="D222" s="175">
        <v>45603</v>
      </c>
      <c r="E222" s="175">
        <v>45534</v>
      </c>
    </row>
    <row r="223" spans="1:5">
      <c r="A223" t="s">
        <v>898</v>
      </c>
      <c r="B223" s="221">
        <v>1</v>
      </c>
      <c r="C223" s="221"/>
      <c r="D223" s="175">
        <v>45603</v>
      </c>
      <c r="E223" s="175">
        <v>45534</v>
      </c>
    </row>
    <row r="224" spans="1:5">
      <c r="A224" t="s">
        <v>899</v>
      </c>
      <c r="B224" s="221">
        <v>1</v>
      </c>
      <c r="C224" s="221"/>
      <c r="D224" s="175">
        <v>45603</v>
      </c>
      <c r="E224" s="175">
        <v>45534</v>
      </c>
    </row>
    <row r="225" spans="1:5">
      <c r="A225" t="s">
        <v>900</v>
      </c>
      <c r="B225" s="221">
        <v>1</v>
      </c>
      <c r="C225" s="221"/>
      <c r="D225" s="175">
        <v>45603</v>
      </c>
      <c r="E225" s="175">
        <v>45534</v>
      </c>
    </row>
    <row r="226" spans="1:5">
      <c r="A226" t="s">
        <v>901</v>
      </c>
      <c r="B226" s="221">
        <v>1</v>
      </c>
      <c r="C226" s="221"/>
      <c r="D226" s="175">
        <v>45603</v>
      </c>
      <c r="E226" s="175">
        <v>45534</v>
      </c>
    </row>
    <row r="227" spans="1:5">
      <c r="A227" t="s">
        <v>902</v>
      </c>
      <c r="B227" s="221">
        <v>1</v>
      </c>
      <c r="C227" s="221"/>
      <c r="D227" s="175">
        <v>45603</v>
      </c>
      <c r="E227" s="175">
        <v>45534</v>
      </c>
    </row>
    <row r="228" spans="1:5">
      <c r="A228" t="s">
        <v>903</v>
      </c>
      <c r="B228" s="221">
        <v>1</v>
      </c>
      <c r="C228" s="221"/>
      <c r="D228" s="175">
        <v>45603</v>
      </c>
      <c r="E228" s="175">
        <v>45534</v>
      </c>
    </row>
    <row r="229" spans="1:5">
      <c r="A229" t="s">
        <v>904</v>
      </c>
      <c r="B229" s="221">
        <v>1</v>
      </c>
      <c r="C229" s="221"/>
      <c r="D229" s="175">
        <v>45603</v>
      </c>
      <c r="E229" s="175">
        <v>45534</v>
      </c>
    </row>
    <row r="230" spans="1:5">
      <c r="A230" t="s">
        <v>905</v>
      </c>
      <c r="B230" s="221">
        <v>1</v>
      </c>
      <c r="C230" s="221"/>
      <c r="D230" s="175">
        <v>45603</v>
      </c>
      <c r="E230" s="175">
        <v>45534</v>
      </c>
    </row>
    <row r="231" spans="1:5">
      <c r="A231" t="s">
        <v>906</v>
      </c>
      <c r="B231" s="221">
        <v>1</v>
      </c>
      <c r="C231" s="221"/>
      <c r="D231" s="175">
        <v>45603</v>
      </c>
      <c r="E231" s="175">
        <v>45534</v>
      </c>
    </row>
    <row r="232" spans="1:5">
      <c r="A232" t="s">
        <v>907</v>
      </c>
      <c r="B232" s="221">
        <v>1</v>
      </c>
      <c r="C232" s="221"/>
      <c r="D232" s="175">
        <v>45603</v>
      </c>
      <c r="E232" s="175">
        <v>45534</v>
      </c>
    </row>
    <row r="233" spans="1:5">
      <c r="A233" t="s">
        <v>908</v>
      </c>
      <c r="B233" s="221">
        <v>0</v>
      </c>
      <c r="C233" s="221"/>
      <c r="D233" s="221"/>
      <c r="E233" s="221"/>
    </row>
    <row r="234" spans="1:5">
      <c r="A234" t="s">
        <v>909</v>
      </c>
      <c r="B234" s="221">
        <v>0</v>
      </c>
      <c r="C234" s="221"/>
      <c r="D234" s="221"/>
      <c r="E234" s="221"/>
    </row>
    <row r="235" spans="1:5">
      <c r="A235" t="s">
        <v>910</v>
      </c>
      <c r="B235" s="221">
        <v>0</v>
      </c>
      <c r="C235" s="221"/>
      <c r="D235" s="221"/>
      <c r="E235" s="221"/>
    </row>
    <row r="236" spans="1:5">
      <c r="A236" t="s">
        <v>911</v>
      </c>
      <c r="B236" s="221">
        <v>1</v>
      </c>
      <c r="C236" s="221"/>
      <c r="D236" s="175">
        <v>45603</v>
      </c>
      <c r="E236" s="175">
        <v>45534</v>
      </c>
    </row>
    <row r="237" spans="1:5">
      <c r="A237" t="s">
        <v>912</v>
      </c>
      <c r="B237" s="221">
        <v>1</v>
      </c>
      <c r="C237" s="221"/>
      <c r="D237" s="175">
        <v>45603</v>
      </c>
      <c r="E237" s="175">
        <v>45534</v>
      </c>
    </row>
    <row r="238" spans="1:5">
      <c r="A238" t="s">
        <v>913</v>
      </c>
      <c r="B238" s="221">
        <v>1</v>
      </c>
      <c r="C238" s="221"/>
      <c r="D238" s="175">
        <v>45603</v>
      </c>
      <c r="E238" s="175">
        <v>45534</v>
      </c>
    </row>
    <row r="239" spans="1:5">
      <c r="A239" t="s">
        <v>914</v>
      </c>
      <c r="B239" s="221">
        <v>1</v>
      </c>
      <c r="C239" s="221"/>
      <c r="D239" s="175">
        <v>45603</v>
      </c>
      <c r="E239" s="175">
        <v>45534</v>
      </c>
    </row>
    <row r="240" spans="1:5">
      <c r="A240" t="s">
        <v>915</v>
      </c>
      <c r="B240" s="221">
        <v>1</v>
      </c>
      <c r="C240" s="221"/>
      <c r="D240" s="175">
        <v>45603</v>
      </c>
      <c r="E240" s="175">
        <v>45534</v>
      </c>
    </row>
    <row r="241" spans="1:5">
      <c r="A241" t="s">
        <v>916</v>
      </c>
      <c r="B241" s="221">
        <v>1</v>
      </c>
      <c r="C241" s="221"/>
      <c r="D241" s="175">
        <v>45603</v>
      </c>
      <c r="E241" s="175">
        <v>45534</v>
      </c>
    </row>
    <row r="242" spans="1:5">
      <c r="A242" t="s">
        <v>917</v>
      </c>
      <c r="B242" s="221">
        <v>1</v>
      </c>
      <c r="C242" s="221"/>
      <c r="D242" s="175">
        <v>45603</v>
      </c>
      <c r="E242" s="175">
        <v>45534</v>
      </c>
    </row>
    <row r="243" spans="1:5">
      <c r="A243" t="s">
        <v>918</v>
      </c>
      <c r="B243" s="221">
        <v>1</v>
      </c>
      <c r="C243" s="221"/>
      <c r="D243" s="175">
        <v>45603</v>
      </c>
      <c r="E243" s="175">
        <v>45534</v>
      </c>
    </row>
    <row r="244" spans="1:5">
      <c r="A244" t="s">
        <v>919</v>
      </c>
      <c r="B244" s="221">
        <v>1</v>
      </c>
      <c r="C244" s="221"/>
      <c r="D244" s="175">
        <v>45603</v>
      </c>
      <c r="E244" s="175">
        <v>45534</v>
      </c>
    </row>
    <row r="245" spans="1:5">
      <c r="A245" t="s">
        <v>920</v>
      </c>
      <c r="B245" s="221">
        <v>1</v>
      </c>
      <c r="C245" s="221"/>
      <c r="D245" s="175">
        <v>45603</v>
      </c>
      <c r="E245" s="175">
        <v>45534</v>
      </c>
    </row>
    <row r="246" spans="1:5">
      <c r="A246" t="s">
        <v>921</v>
      </c>
      <c r="B246" s="221">
        <v>1</v>
      </c>
      <c r="C246" s="221"/>
      <c r="D246" s="175">
        <v>45603</v>
      </c>
      <c r="E246" s="175">
        <v>45534</v>
      </c>
    </row>
    <row r="247" spans="1:5">
      <c r="A247" t="s">
        <v>922</v>
      </c>
      <c r="B247" s="221">
        <v>1</v>
      </c>
      <c r="C247" s="221"/>
      <c r="D247" s="175">
        <v>45603</v>
      </c>
      <c r="E247" s="175">
        <v>45534</v>
      </c>
    </row>
    <row r="248" spans="1:5">
      <c r="A248" t="s">
        <v>923</v>
      </c>
      <c r="B248" s="221">
        <v>1</v>
      </c>
      <c r="C248" s="221"/>
      <c r="D248" s="175">
        <v>45603</v>
      </c>
      <c r="E248" s="175">
        <v>45534</v>
      </c>
    </row>
    <row r="249" spans="1:5">
      <c r="A249" t="s">
        <v>924</v>
      </c>
      <c r="B249" s="221">
        <v>1</v>
      </c>
      <c r="C249" s="221"/>
      <c r="D249" s="175">
        <v>45603</v>
      </c>
      <c r="E249" s="175">
        <v>45534</v>
      </c>
    </row>
    <row r="250" spans="1:5">
      <c r="A250" t="s">
        <v>925</v>
      </c>
      <c r="B250" s="221">
        <v>1</v>
      </c>
      <c r="C250" s="221"/>
      <c r="D250" s="175">
        <v>45603</v>
      </c>
      <c r="E250" s="175">
        <v>45534</v>
      </c>
    </row>
    <row r="251" spans="1:5">
      <c r="A251" t="s">
        <v>926</v>
      </c>
      <c r="B251" s="221">
        <v>1</v>
      </c>
      <c r="C251" s="221"/>
      <c r="D251" s="175">
        <v>45603</v>
      </c>
      <c r="E251" s="175">
        <v>45534</v>
      </c>
    </row>
    <row r="252" spans="1:5">
      <c r="A252" t="s">
        <v>927</v>
      </c>
      <c r="B252" s="221">
        <v>1</v>
      </c>
      <c r="C252" s="221"/>
      <c r="D252" s="175">
        <v>45603</v>
      </c>
      <c r="E252" s="175">
        <v>45534</v>
      </c>
    </row>
    <row r="253" spans="1:5">
      <c r="A253" t="s">
        <v>928</v>
      </c>
      <c r="B253" s="221">
        <v>1</v>
      </c>
      <c r="C253" s="221"/>
      <c r="D253" s="175">
        <v>45603</v>
      </c>
      <c r="E253" s="175">
        <v>45534</v>
      </c>
    </row>
    <row r="254" spans="1:5">
      <c r="A254" t="s">
        <v>929</v>
      </c>
      <c r="B254" s="221">
        <v>1</v>
      </c>
      <c r="C254" s="221"/>
      <c r="D254" s="175">
        <v>45603</v>
      </c>
      <c r="E254" s="175">
        <v>45534</v>
      </c>
    </row>
    <row r="255" spans="1:5">
      <c r="A255" t="s">
        <v>930</v>
      </c>
      <c r="B255" s="221">
        <v>1</v>
      </c>
      <c r="C255" s="221"/>
      <c r="D255" s="175">
        <v>45603</v>
      </c>
      <c r="E255" s="175">
        <v>45534</v>
      </c>
    </row>
    <row r="256" spans="1:5">
      <c r="A256" t="s">
        <v>931</v>
      </c>
      <c r="B256" s="221">
        <v>1</v>
      </c>
      <c r="C256" s="221"/>
      <c r="D256" s="175">
        <v>45603</v>
      </c>
      <c r="E256" s="175">
        <v>45534</v>
      </c>
    </row>
    <row r="257" spans="1:5">
      <c r="A257" t="s">
        <v>932</v>
      </c>
      <c r="B257" s="221">
        <v>1</v>
      </c>
      <c r="C257" s="221"/>
      <c r="D257" s="175">
        <v>45603</v>
      </c>
      <c r="E257" s="175">
        <v>45534</v>
      </c>
    </row>
    <row r="258" spans="1:5">
      <c r="A258" t="s">
        <v>933</v>
      </c>
      <c r="B258" s="221">
        <v>1</v>
      </c>
      <c r="C258" s="221"/>
      <c r="D258" s="175">
        <v>45603</v>
      </c>
      <c r="E258" s="175">
        <v>45534</v>
      </c>
    </row>
    <row r="259" spans="1:5">
      <c r="A259" t="s">
        <v>934</v>
      </c>
      <c r="B259" s="221">
        <v>1</v>
      </c>
      <c r="C259" s="221"/>
      <c r="D259" s="175">
        <v>45603</v>
      </c>
      <c r="E259" s="175">
        <v>45534</v>
      </c>
    </row>
    <row r="260" spans="1:5">
      <c r="A260" t="s">
        <v>935</v>
      </c>
      <c r="B260" s="221">
        <v>1</v>
      </c>
      <c r="C260" s="221"/>
      <c r="D260" s="175">
        <v>45603</v>
      </c>
      <c r="E260" s="175">
        <v>45534</v>
      </c>
    </row>
    <row r="261" spans="1:5">
      <c r="A261" t="s">
        <v>936</v>
      </c>
      <c r="B261" s="221">
        <v>1</v>
      </c>
      <c r="C261" s="221"/>
      <c r="D261" s="175">
        <v>45603</v>
      </c>
      <c r="E261" s="175">
        <v>45534</v>
      </c>
    </row>
    <row r="262" spans="1:5">
      <c r="A262" t="s">
        <v>937</v>
      </c>
      <c r="B262" s="221">
        <v>1</v>
      </c>
      <c r="C262" s="221"/>
      <c r="D262" s="175">
        <v>45603</v>
      </c>
      <c r="E262" s="175">
        <v>45534</v>
      </c>
    </row>
    <row r="263" spans="1:5">
      <c r="A263" t="s">
        <v>938</v>
      </c>
      <c r="B263" s="221">
        <v>1</v>
      </c>
      <c r="C263" s="221"/>
      <c r="D263" s="175">
        <v>45603</v>
      </c>
      <c r="E263" s="175">
        <v>45534</v>
      </c>
    </row>
    <row r="264" spans="1:5">
      <c r="A264" t="s">
        <v>939</v>
      </c>
      <c r="B264" s="221">
        <v>1</v>
      </c>
      <c r="C264" s="221"/>
      <c r="D264" s="175">
        <v>45603</v>
      </c>
      <c r="E264" s="175">
        <v>45534</v>
      </c>
    </row>
    <row r="265" spans="1:5">
      <c r="A265" t="s">
        <v>940</v>
      </c>
      <c r="B265" s="221">
        <v>1</v>
      </c>
      <c r="C265" s="221"/>
      <c r="D265" s="175">
        <v>45603</v>
      </c>
      <c r="E265" s="175">
        <v>45534</v>
      </c>
    </row>
    <row r="266" spans="1:5">
      <c r="A266" t="s">
        <v>941</v>
      </c>
      <c r="B266" s="221">
        <v>1</v>
      </c>
      <c r="C266" s="221"/>
      <c r="D266" s="175">
        <v>45603</v>
      </c>
      <c r="E266" s="175">
        <v>45534</v>
      </c>
    </row>
    <row r="267" spans="1:5">
      <c r="A267" t="s">
        <v>942</v>
      </c>
      <c r="B267" s="221">
        <v>1</v>
      </c>
      <c r="C267" s="221"/>
      <c r="D267" s="175">
        <v>45603</v>
      </c>
      <c r="E267" s="175">
        <v>45534</v>
      </c>
    </row>
    <row r="268" spans="1:5">
      <c r="A268" t="s">
        <v>943</v>
      </c>
      <c r="B268" s="221">
        <v>1</v>
      </c>
      <c r="C268" s="221"/>
      <c r="D268" s="175">
        <v>45603</v>
      </c>
      <c r="E268" s="175">
        <v>45534</v>
      </c>
    </row>
    <row r="269" spans="1:5">
      <c r="A269" t="s">
        <v>944</v>
      </c>
      <c r="B269" s="221">
        <v>1</v>
      </c>
      <c r="C269" s="221"/>
      <c r="D269" s="175">
        <v>45603</v>
      </c>
      <c r="E269" s="175">
        <v>45534</v>
      </c>
    </row>
    <row r="270" spans="1:5">
      <c r="A270" t="s">
        <v>945</v>
      </c>
      <c r="B270" s="221">
        <v>1</v>
      </c>
      <c r="C270" s="221"/>
      <c r="D270" s="175">
        <v>45603</v>
      </c>
      <c r="E270" s="175">
        <v>45534</v>
      </c>
    </row>
    <row r="271" spans="1:5">
      <c r="A271" t="s">
        <v>946</v>
      </c>
      <c r="B271" s="221">
        <v>1</v>
      </c>
      <c r="C271" s="221"/>
      <c r="D271" s="175">
        <v>45603</v>
      </c>
      <c r="E271" s="175">
        <v>45534</v>
      </c>
    </row>
    <row r="272" spans="1:5">
      <c r="A272" t="s">
        <v>947</v>
      </c>
      <c r="B272" s="221">
        <v>1</v>
      </c>
      <c r="C272" s="221"/>
      <c r="D272" s="175">
        <v>45603</v>
      </c>
      <c r="E272" s="175">
        <v>45534</v>
      </c>
    </row>
    <row r="273" spans="1:5">
      <c r="A273" t="s">
        <v>948</v>
      </c>
      <c r="B273" s="221">
        <v>1</v>
      </c>
      <c r="C273" s="221"/>
      <c r="D273" s="175">
        <v>45603</v>
      </c>
      <c r="E273" s="175">
        <v>45534</v>
      </c>
    </row>
    <row r="274" spans="1:5">
      <c r="A274" t="s">
        <v>949</v>
      </c>
      <c r="B274" s="221">
        <v>1</v>
      </c>
      <c r="C274" s="221"/>
      <c r="D274" s="175">
        <v>45603</v>
      </c>
      <c r="E274" s="175">
        <v>45534</v>
      </c>
    </row>
    <row r="275" spans="1:5">
      <c r="A275" t="s">
        <v>950</v>
      </c>
      <c r="B275" s="221">
        <v>1</v>
      </c>
      <c r="C275" s="221"/>
      <c r="D275" s="175">
        <v>45603</v>
      </c>
      <c r="E275" s="175">
        <v>45534</v>
      </c>
    </row>
    <row r="276" spans="1:5">
      <c r="A276" t="s">
        <v>951</v>
      </c>
      <c r="B276" s="221">
        <v>1</v>
      </c>
      <c r="C276" s="221"/>
      <c r="D276" s="175">
        <v>45603</v>
      </c>
      <c r="E276" s="175">
        <v>45534</v>
      </c>
    </row>
    <row r="277" spans="1:5">
      <c r="A277" t="s">
        <v>952</v>
      </c>
      <c r="B277" s="221">
        <v>1</v>
      </c>
      <c r="C277" s="221"/>
      <c r="D277" s="175">
        <v>45603</v>
      </c>
      <c r="E277" s="175">
        <v>45534</v>
      </c>
    </row>
    <row r="278" spans="1:5">
      <c r="A278" t="s">
        <v>953</v>
      </c>
      <c r="B278" s="221">
        <v>1</v>
      </c>
      <c r="C278" s="221"/>
      <c r="D278" s="175">
        <v>45603</v>
      </c>
      <c r="E278" s="175">
        <v>45534</v>
      </c>
    </row>
    <row r="279" spans="1:5">
      <c r="A279" t="s">
        <v>954</v>
      </c>
      <c r="B279" s="221">
        <v>1</v>
      </c>
      <c r="C279" s="221"/>
      <c r="D279" s="175">
        <v>45603</v>
      </c>
      <c r="E279" s="175">
        <v>45534</v>
      </c>
    </row>
    <row r="280" spans="1:5">
      <c r="A280" t="s">
        <v>955</v>
      </c>
      <c r="B280" s="221">
        <v>1</v>
      </c>
      <c r="C280" s="221"/>
      <c r="D280" s="175">
        <v>45603</v>
      </c>
      <c r="E280" s="175">
        <v>45534</v>
      </c>
    </row>
    <row r="281" spans="1:5">
      <c r="A281" t="s">
        <v>956</v>
      </c>
      <c r="B281" s="221">
        <v>1</v>
      </c>
      <c r="C281" s="221"/>
      <c r="D281" s="175">
        <v>45603</v>
      </c>
      <c r="E281" s="175">
        <v>45534</v>
      </c>
    </row>
    <row r="282" spans="1:5">
      <c r="A282" t="s">
        <v>957</v>
      </c>
      <c r="B282" s="221">
        <v>1</v>
      </c>
      <c r="C282" s="221"/>
      <c r="D282" s="175">
        <v>45603</v>
      </c>
      <c r="E282" s="175">
        <v>45534</v>
      </c>
    </row>
    <row r="283" spans="1:5">
      <c r="A283" t="s">
        <v>958</v>
      </c>
      <c r="B283" s="221">
        <v>1</v>
      </c>
      <c r="C283" s="221"/>
      <c r="D283" s="175">
        <v>45603</v>
      </c>
      <c r="E283" s="175">
        <v>45534</v>
      </c>
    </row>
    <row r="284" spans="1:5">
      <c r="A284" t="s">
        <v>959</v>
      </c>
      <c r="B284" s="221">
        <v>1</v>
      </c>
      <c r="C284" s="221"/>
      <c r="D284" s="175">
        <v>45603</v>
      </c>
      <c r="E284" s="221"/>
    </row>
    <row r="285" spans="1:5">
      <c r="A285" t="s">
        <v>960</v>
      </c>
      <c r="B285" s="221">
        <v>1</v>
      </c>
      <c r="C285" s="221"/>
      <c r="D285" s="175">
        <v>45603</v>
      </c>
      <c r="E285" s="221"/>
    </row>
    <row r="286" spans="1:5">
      <c r="A286" t="s">
        <v>961</v>
      </c>
      <c r="B286" s="221">
        <v>1</v>
      </c>
      <c r="C286" s="221"/>
      <c r="D286" s="175">
        <v>45603</v>
      </c>
      <c r="E286" s="221"/>
    </row>
    <row r="287" spans="1:5">
      <c r="A287" t="s">
        <v>962</v>
      </c>
      <c r="B287" s="221">
        <v>1</v>
      </c>
      <c r="C287" s="221"/>
      <c r="D287" s="175">
        <v>45603</v>
      </c>
      <c r="E287" s="221"/>
    </row>
    <row r="288" spans="1:5">
      <c r="A288" t="s">
        <v>963</v>
      </c>
      <c r="B288" s="221">
        <v>1</v>
      </c>
      <c r="C288" s="221"/>
      <c r="D288" s="175">
        <v>45603</v>
      </c>
      <c r="E288" s="221"/>
    </row>
    <row r="289" spans="1:5">
      <c r="A289" t="s">
        <v>964</v>
      </c>
      <c r="B289" s="221">
        <v>1</v>
      </c>
      <c r="C289" s="221"/>
      <c r="D289" s="175">
        <v>45603</v>
      </c>
      <c r="E289" s="221"/>
    </row>
    <row r="290" spans="1:5">
      <c r="A290" t="s">
        <v>965</v>
      </c>
      <c r="B290" s="221">
        <v>1</v>
      </c>
      <c r="C290" s="221"/>
      <c r="D290" s="175">
        <v>45603</v>
      </c>
      <c r="E290" s="221"/>
    </row>
    <row r="291" spans="1:5">
      <c r="A291" t="s">
        <v>966</v>
      </c>
      <c r="B291" s="221">
        <v>1</v>
      </c>
      <c r="C291" s="221"/>
      <c r="D291" s="221"/>
      <c r="E291" s="221"/>
    </row>
    <row r="292" spans="1:5">
      <c r="A292" t="s">
        <v>967</v>
      </c>
      <c r="B292" s="221">
        <v>1</v>
      </c>
      <c r="C292" s="221"/>
      <c r="D292" s="221"/>
      <c r="E292" s="221"/>
    </row>
    <row r="293" spans="1:5">
      <c r="A293" t="s">
        <v>968</v>
      </c>
      <c r="B293" s="221">
        <v>1</v>
      </c>
      <c r="C293" s="221"/>
      <c r="D293" s="221"/>
      <c r="E293" s="221"/>
    </row>
    <row r="294" spans="1:5">
      <c r="A294" t="s">
        <v>969</v>
      </c>
      <c r="B294" s="221">
        <v>1</v>
      </c>
      <c r="C294" s="221"/>
      <c r="D294" s="221"/>
      <c r="E294" s="221"/>
    </row>
    <row r="295" spans="1:5">
      <c r="A295" t="s">
        <v>970</v>
      </c>
      <c r="B295" s="221">
        <v>7</v>
      </c>
      <c r="C295" s="175">
        <v>45569</v>
      </c>
      <c r="D295" s="175">
        <v>45621</v>
      </c>
      <c r="E295" s="221"/>
    </row>
    <row r="296" spans="1:5">
      <c r="A296" t="s">
        <v>971</v>
      </c>
      <c r="B296" s="221">
        <v>7</v>
      </c>
      <c r="C296" s="175">
        <v>45569</v>
      </c>
      <c r="D296" s="175">
        <v>45621</v>
      </c>
      <c r="E296" s="221"/>
    </row>
    <row r="297" spans="1:5">
      <c r="A297" t="s">
        <v>972</v>
      </c>
      <c r="B297" s="221">
        <v>1</v>
      </c>
      <c r="C297" s="221"/>
      <c r="D297" s="221"/>
      <c r="E297" s="221"/>
    </row>
    <row r="298" spans="1:5">
      <c r="A298" t="s">
        <v>973</v>
      </c>
      <c r="B298" s="221">
        <v>7</v>
      </c>
      <c r="C298" s="175">
        <v>45569</v>
      </c>
      <c r="D298" s="175">
        <v>45621</v>
      </c>
      <c r="E298" s="221"/>
    </row>
    <row r="299" spans="1:5">
      <c r="A299" t="s">
        <v>974</v>
      </c>
      <c r="B299" s="221">
        <v>7</v>
      </c>
      <c r="C299" s="175">
        <v>45569</v>
      </c>
      <c r="D299" s="175">
        <v>45621</v>
      </c>
      <c r="E299" s="221"/>
    </row>
    <row r="300" spans="1:5">
      <c r="A300" t="s">
        <v>975</v>
      </c>
      <c r="B300" s="221">
        <v>7</v>
      </c>
      <c r="C300" s="175">
        <v>45569</v>
      </c>
      <c r="D300" s="175">
        <v>45600</v>
      </c>
      <c r="E300" s="221"/>
    </row>
    <row r="301" spans="1:5">
      <c r="A301" t="s">
        <v>976</v>
      </c>
      <c r="B301" s="221">
        <v>7</v>
      </c>
      <c r="C301" s="175">
        <v>45569</v>
      </c>
      <c r="D301" s="175">
        <v>45600</v>
      </c>
      <c r="E301" s="221"/>
    </row>
    <row r="302" spans="1:5">
      <c r="A302" t="s">
        <v>977</v>
      </c>
      <c r="B302" s="221">
        <v>7</v>
      </c>
      <c r="C302" s="175">
        <v>45569</v>
      </c>
      <c r="D302" s="175">
        <v>45600</v>
      </c>
      <c r="E302" s="221"/>
    </row>
    <row r="303" spans="1:5">
      <c r="A303" t="s">
        <v>978</v>
      </c>
      <c r="B303" s="221">
        <v>1</v>
      </c>
      <c r="C303" s="221"/>
      <c r="D303" s="221"/>
      <c r="E303" s="221"/>
    </row>
    <row r="304" spans="1:5">
      <c r="A304" t="s">
        <v>979</v>
      </c>
      <c r="B304" s="221">
        <v>7</v>
      </c>
      <c r="C304" s="175">
        <v>45569</v>
      </c>
      <c r="D304" s="175">
        <v>45600</v>
      </c>
      <c r="E304" s="221"/>
    </row>
    <row r="305" spans="1:5">
      <c r="A305" t="s">
        <v>980</v>
      </c>
      <c r="B305" s="221">
        <v>7</v>
      </c>
      <c r="C305" s="175">
        <v>45569</v>
      </c>
      <c r="D305" s="175">
        <v>45600</v>
      </c>
      <c r="E305" s="221"/>
    </row>
    <row r="306" spans="1:5">
      <c r="A306" t="s">
        <v>981</v>
      </c>
      <c r="B306" s="221">
        <v>1</v>
      </c>
      <c r="C306" s="221"/>
      <c r="D306" s="221"/>
      <c r="E306" s="221"/>
    </row>
    <row r="307" spans="1:5">
      <c r="A307" t="s">
        <v>982</v>
      </c>
      <c r="B307" s="221">
        <v>7</v>
      </c>
      <c r="C307" s="175">
        <v>45569</v>
      </c>
      <c r="D307" s="175">
        <v>45600</v>
      </c>
      <c r="E307" s="221"/>
    </row>
    <row r="308" spans="1:5">
      <c r="A308" t="s">
        <v>983</v>
      </c>
      <c r="B308" s="221">
        <v>7</v>
      </c>
      <c r="C308" s="175">
        <v>45569</v>
      </c>
      <c r="D308" s="175">
        <v>45600</v>
      </c>
      <c r="E308" s="221"/>
    </row>
    <row r="309" spans="1:5">
      <c r="A309" t="s">
        <v>984</v>
      </c>
      <c r="B309" s="221">
        <v>7</v>
      </c>
      <c r="C309" s="175">
        <v>45569</v>
      </c>
      <c r="D309" s="175">
        <v>45600</v>
      </c>
      <c r="E309" s="221"/>
    </row>
    <row r="310" spans="1:5">
      <c r="A310" t="s">
        <v>985</v>
      </c>
      <c r="B310" s="221">
        <v>7</v>
      </c>
      <c r="C310" s="175">
        <v>45561</v>
      </c>
      <c r="D310" s="175">
        <v>45614</v>
      </c>
      <c r="E310" s="221"/>
    </row>
    <row r="311" spans="1:5">
      <c r="A311" t="s">
        <v>986</v>
      </c>
      <c r="B311" s="221">
        <v>7</v>
      </c>
      <c r="C311" s="175">
        <v>45561</v>
      </c>
      <c r="D311" s="175">
        <v>45614</v>
      </c>
      <c r="E311" s="221"/>
    </row>
    <row r="312" spans="1:5">
      <c r="A312" t="s">
        <v>987</v>
      </c>
      <c r="B312" s="221">
        <v>7</v>
      </c>
      <c r="C312" s="175">
        <v>45561</v>
      </c>
      <c r="D312" s="175">
        <v>45614</v>
      </c>
      <c r="E312" s="221"/>
    </row>
    <row r="313" spans="1:5">
      <c r="A313" t="s">
        <v>988</v>
      </c>
      <c r="B313" s="221">
        <v>7</v>
      </c>
      <c r="C313" s="175">
        <v>45561</v>
      </c>
      <c r="D313" s="175">
        <v>45614</v>
      </c>
      <c r="E313" s="221"/>
    </row>
    <row r="314" spans="1:5">
      <c r="A314" t="s">
        <v>989</v>
      </c>
      <c r="B314" s="221">
        <v>7</v>
      </c>
      <c r="C314" s="175">
        <v>45561</v>
      </c>
      <c r="D314" s="175">
        <v>45614</v>
      </c>
      <c r="E314" s="221"/>
    </row>
    <row r="315" spans="1:5">
      <c r="A315" t="s">
        <v>990</v>
      </c>
      <c r="B315" s="221">
        <v>7</v>
      </c>
      <c r="C315" s="175">
        <v>45561</v>
      </c>
      <c r="D315" s="175">
        <v>45614</v>
      </c>
      <c r="E315" s="221"/>
    </row>
    <row r="316" spans="1:5">
      <c r="A316" t="s">
        <v>991</v>
      </c>
      <c r="B316" s="221">
        <v>7</v>
      </c>
      <c r="C316" s="175">
        <v>45561</v>
      </c>
      <c r="D316" s="175">
        <v>45614</v>
      </c>
      <c r="E316" s="221"/>
    </row>
    <row r="317" spans="1:5">
      <c r="A317" t="s">
        <v>992</v>
      </c>
      <c r="B317" s="221">
        <v>7</v>
      </c>
      <c r="C317" s="175">
        <v>45561</v>
      </c>
      <c r="D317" s="175">
        <v>45614</v>
      </c>
      <c r="E317" s="221"/>
    </row>
    <row r="318" spans="1:5">
      <c r="A318" t="s">
        <v>993</v>
      </c>
      <c r="B318" s="221">
        <v>7</v>
      </c>
      <c r="C318" s="175">
        <v>45561</v>
      </c>
      <c r="D318" s="175">
        <v>45614</v>
      </c>
      <c r="E318" s="221"/>
    </row>
    <row r="319" spans="1:5">
      <c r="A319" t="s">
        <v>994</v>
      </c>
      <c r="B319" s="221">
        <v>7</v>
      </c>
      <c r="C319" s="175">
        <v>45561</v>
      </c>
      <c r="D319" s="175">
        <v>45614</v>
      </c>
      <c r="E319" s="221"/>
    </row>
    <row r="320" spans="1:5">
      <c r="A320" t="s">
        <v>995</v>
      </c>
      <c r="B320" s="221">
        <v>7</v>
      </c>
      <c r="C320" s="175">
        <v>45561</v>
      </c>
      <c r="D320" s="175">
        <v>45614</v>
      </c>
      <c r="E320" s="221"/>
    </row>
    <row r="321" spans="1:5">
      <c r="A321" t="s">
        <v>996</v>
      </c>
      <c r="B321" s="221">
        <v>7</v>
      </c>
      <c r="C321" s="175">
        <v>45561</v>
      </c>
      <c r="D321" s="175">
        <v>45614</v>
      </c>
      <c r="E321" s="221"/>
    </row>
    <row r="322" spans="1:5">
      <c r="A322" t="s">
        <v>997</v>
      </c>
      <c r="B322" s="221">
        <v>7</v>
      </c>
      <c r="C322" s="175">
        <v>45561</v>
      </c>
      <c r="D322" s="175">
        <v>45614</v>
      </c>
      <c r="E322" s="221"/>
    </row>
    <row r="323" spans="1:5">
      <c r="A323" t="s">
        <v>998</v>
      </c>
      <c r="B323" s="221">
        <v>7</v>
      </c>
      <c r="C323" s="175">
        <v>45561</v>
      </c>
      <c r="D323" s="175">
        <v>45614</v>
      </c>
      <c r="E323" s="221"/>
    </row>
    <row r="324" spans="1:5">
      <c r="A324" t="s">
        <v>999</v>
      </c>
      <c r="B324" s="221">
        <v>7</v>
      </c>
      <c r="C324" s="175">
        <v>45561</v>
      </c>
      <c r="D324" s="175">
        <v>45614</v>
      </c>
      <c r="E324" s="221"/>
    </row>
    <row r="325" spans="1:5">
      <c r="A325" t="s">
        <v>1000</v>
      </c>
      <c r="B325" s="221">
        <v>7</v>
      </c>
      <c r="C325" s="175">
        <v>45553</v>
      </c>
      <c r="D325" s="175">
        <v>45614</v>
      </c>
      <c r="E325" s="221"/>
    </row>
    <row r="326" spans="1:5">
      <c r="A326" t="s">
        <v>1001</v>
      </c>
      <c r="B326" s="221">
        <v>7</v>
      </c>
      <c r="C326" s="175">
        <v>45553</v>
      </c>
      <c r="D326" s="175">
        <v>45614</v>
      </c>
      <c r="E326" s="221"/>
    </row>
    <row r="327" spans="1:5">
      <c r="A327" t="s">
        <v>1002</v>
      </c>
      <c r="B327" s="221">
        <v>7</v>
      </c>
      <c r="C327" s="175">
        <v>45569</v>
      </c>
      <c r="D327" s="175">
        <v>45624</v>
      </c>
      <c r="E327" s="221"/>
    </row>
    <row r="328" spans="1:5">
      <c r="A328" t="s">
        <v>1003</v>
      </c>
      <c r="B328" s="221">
        <v>7</v>
      </c>
      <c r="C328" s="175">
        <v>45569</v>
      </c>
      <c r="D328" s="175">
        <v>45624</v>
      </c>
      <c r="E328" s="221"/>
    </row>
    <row r="329" spans="1:5">
      <c r="A329" t="s">
        <v>1004</v>
      </c>
      <c r="B329" s="221">
        <v>1</v>
      </c>
      <c r="C329" s="175">
        <v>45512</v>
      </c>
      <c r="D329" s="221"/>
      <c r="E329" s="221"/>
    </row>
    <row r="330" spans="1:5">
      <c r="A330" t="s">
        <v>1005</v>
      </c>
      <c r="B330" s="221">
        <v>7</v>
      </c>
      <c r="C330" s="175">
        <v>45569</v>
      </c>
      <c r="D330" s="175">
        <v>45614</v>
      </c>
      <c r="E330" s="221"/>
    </row>
    <row r="331" spans="1:5">
      <c r="A331" t="s">
        <v>1006</v>
      </c>
      <c r="B331" s="221">
        <v>7</v>
      </c>
      <c r="C331" s="175">
        <v>45553</v>
      </c>
      <c r="D331" s="175">
        <v>45614</v>
      </c>
      <c r="E331" s="221"/>
    </row>
    <row r="332" spans="1:5">
      <c r="A332" t="s">
        <v>1007</v>
      </c>
      <c r="B332" s="221">
        <v>7</v>
      </c>
      <c r="C332" s="175">
        <v>45553</v>
      </c>
      <c r="D332" s="175">
        <v>45614</v>
      </c>
      <c r="E332" s="221"/>
    </row>
    <row r="333" spans="1:5">
      <c r="A333" t="s">
        <v>1008</v>
      </c>
      <c r="B333" s="221">
        <v>7</v>
      </c>
      <c r="C333" s="175">
        <v>45569</v>
      </c>
      <c r="D333" s="175">
        <v>45624</v>
      </c>
      <c r="E333" s="221"/>
    </row>
    <row r="334" spans="1:5">
      <c r="A334" t="s">
        <v>1009</v>
      </c>
      <c r="B334" s="221">
        <v>7</v>
      </c>
      <c r="C334" s="175">
        <v>45569</v>
      </c>
      <c r="D334" s="175">
        <v>45624</v>
      </c>
      <c r="E334" s="221"/>
    </row>
    <row r="335" spans="1:5">
      <c r="A335" t="s">
        <v>1010</v>
      </c>
      <c r="B335" s="221">
        <v>7</v>
      </c>
      <c r="C335" s="175">
        <v>45569</v>
      </c>
      <c r="D335" s="175">
        <v>45621</v>
      </c>
      <c r="E335" s="221"/>
    </row>
    <row r="336" spans="1:5">
      <c r="A336" t="s">
        <v>1011</v>
      </c>
      <c r="B336" s="221">
        <v>7</v>
      </c>
      <c r="C336" s="175">
        <v>45569</v>
      </c>
      <c r="D336" s="175">
        <v>45621</v>
      </c>
      <c r="E336" s="221"/>
    </row>
    <row r="337" spans="1:5">
      <c r="A337" t="s">
        <v>1012</v>
      </c>
      <c r="B337" s="221">
        <v>7</v>
      </c>
      <c r="C337" s="175">
        <v>45569</v>
      </c>
      <c r="D337" s="175">
        <v>45621</v>
      </c>
      <c r="E337" s="221"/>
    </row>
    <row r="338" spans="1:5">
      <c r="A338" t="s">
        <v>1013</v>
      </c>
      <c r="B338" s="221">
        <v>1</v>
      </c>
      <c r="C338" s="221"/>
      <c r="D338" s="221"/>
      <c r="E338" s="221"/>
    </row>
    <row r="339" spans="1:5">
      <c r="A339" t="s">
        <v>1014</v>
      </c>
      <c r="B339" s="221">
        <v>7</v>
      </c>
      <c r="C339" s="175">
        <v>45569</v>
      </c>
      <c r="D339" s="175">
        <v>45621</v>
      </c>
      <c r="E339" s="221"/>
    </row>
    <row r="340" spans="1:5">
      <c r="A340" t="s">
        <v>1015</v>
      </c>
      <c r="B340" s="221">
        <v>7</v>
      </c>
      <c r="C340" s="175">
        <v>45569</v>
      </c>
      <c r="D340" s="175">
        <v>45621</v>
      </c>
      <c r="E340" s="221"/>
    </row>
    <row r="341" spans="1:5">
      <c r="A341" t="s">
        <v>1016</v>
      </c>
      <c r="B341" s="221">
        <v>7</v>
      </c>
      <c r="C341" s="175">
        <v>45569</v>
      </c>
      <c r="D341" s="175">
        <v>45621</v>
      </c>
      <c r="E341" s="221"/>
    </row>
    <row r="342" spans="1:5">
      <c r="A342" t="s">
        <v>1017</v>
      </c>
      <c r="B342" s="221">
        <v>1</v>
      </c>
      <c r="C342" s="221"/>
      <c r="D342" s="221"/>
      <c r="E342" s="221"/>
    </row>
    <row r="343" spans="1:5">
      <c r="A343" t="s">
        <v>1018</v>
      </c>
      <c r="B343" s="221">
        <v>1</v>
      </c>
      <c r="C343" s="221"/>
      <c r="D343" s="221"/>
      <c r="E343" s="221"/>
    </row>
    <row r="344" spans="1:5">
      <c r="A344" t="s">
        <v>1019</v>
      </c>
      <c r="B344" s="221">
        <v>1</v>
      </c>
      <c r="C344" s="221"/>
      <c r="D344" s="221"/>
      <c r="E344" s="221"/>
    </row>
    <row r="345" spans="1:5">
      <c r="A345" t="s">
        <v>1020</v>
      </c>
      <c r="B345" s="221">
        <v>1</v>
      </c>
      <c r="C345" s="221"/>
      <c r="D345" s="221"/>
      <c r="E345" s="221"/>
    </row>
    <row r="346" spans="1:5">
      <c r="A346" t="s">
        <v>1021</v>
      </c>
      <c r="B346" s="221">
        <v>1</v>
      </c>
      <c r="C346" s="221"/>
      <c r="D346" s="221"/>
      <c r="E346" s="221"/>
    </row>
    <row r="347" spans="1:5">
      <c r="A347" t="s">
        <v>1022</v>
      </c>
      <c r="B347" s="221">
        <v>7</v>
      </c>
      <c r="C347" s="175">
        <v>45559</v>
      </c>
      <c r="D347" s="175">
        <v>45607</v>
      </c>
      <c r="E347" s="221"/>
    </row>
    <row r="348" spans="1:5">
      <c r="A348" t="s">
        <v>1023</v>
      </c>
      <c r="B348" s="221">
        <v>7</v>
      </c>
      <c r="C348" s="175">
        <v>45560</v>
      </c>
      <c r="D348" s="175">
        <v>45607</v>
      </c>
      <c r="E348" s="221"/>
    </row>
    <row r="349" spans="1:5">
      <c r="A349" t="s">
        <v>1024</v>
      </c>
      <c r="B349" s="221">
        <v>7</v>
      </c>
      <c r="C349" s="175">
        <v>45569</v>
      </c>
      <c r="D349" s="175">
        <v>45607</v>
      </c>
      <c r="E349" s="221"/>
    </row>
    <row r="350" spans="1:5">
      <c r="A350" t="s">
        <v>1025</v>
      </c>
      <c r="B350" s="221">
        <v>7</v>
      </c>
      <c r="C350" s="175">
        <v>45569</v>
      </c>
      <c r="D350" s="175">
        <v>45607</v>
      </c>
      <c r="E350" s="221"/>
    </row>
    <row r="351" spans="1:5">
      <c r="A351" t="s">
        <v>1026</v>
      </c>
      <c r="B351" s="221">
        <v>7</v>
      </c>
      <c r="C351" s="175">
        <v>45569</v>
      </c>
      <c r="D351" s="175">
        <v>45607</v>
      </c>
      <c r="E351" s="221"/>
    </row>
    <row r="352" spans="1:5">
      <c r="A352" t="s">
        <v>1027</v>
      </c>
      <c r="B352" s="221">
        <v>1</v>
      </c>
      <c r="C352" s="221"/>
      <c r="D352" s="221"/>
      <c r="E352" s="221"/>
    </row>
    <row r="353" spans="1:5">
      <c r="A353" t="s">
        <v>1028</v>
      </c>
      <c r="B353" s="221">
        <v>7</v>
      </c>
      <c r="C353" s="175">
        <v>45569</v>
      </c>
      <c r="D353" s="175">
        <v>45607</v>
      </c>
      <c r="E353" s="221"/>
    </row>
    <row r="354" spans="1:5">
      <c r="A354" t="s">
        <v>1029</v>
      </c>
      <c r="B354" s="221">
        <v>7</v>
      </c>
      <c r="C354" s="175">
        <v>45569</v>
      </c>
      <c r="D354" s="175">
        <v>45607</v>
      </c>
      <c r="E354" s="221"/>
    </row>
    <row r="355" spans="1:5">
      <c r="A355" t="s">
        <v>1030</v>
      </c>
      <c r="B355" s="221">
        <v>7</v>
      </c>
      <c r="C355" s="175">
        <v>45569</v>
      </c>
      <c r="D355" s="175">
        <v>45607</v>
      </c>
      <c r="E355" s="221"/>
    </row>
    <row r="356" spans="1:5">
      <c r="A356" t="s">
        <v>1031</v>
      </c>
      <c r="B356" s="221">
        <v>1</v>
      </c>
      <c r="C356" s="221"/>
      <c r="D356" s="221"/>
      <c r="E356" s="221"/>
    </row>
    <row r="357" spans="1:5">
      <c r="A357" t="s">
        <v>1032</v>
      </c>
      <c r="B357" s="221">
        <v>1</v>
      </c>
      <c r="C357" s="221"/>
      <c r="D357" s="221"/>
      <c r="E357" s="221"/>
    </row>
    <row r="358" spans="1:5">
      <c r="A358" t="s">
        <v>1033</v>
      </c>
      <c r="B358" s="221">
        <v>1</v>
      </c>
      <c r="C358" s="221"/>
      <c r="D358" s="221"/>
      <c r="E358" s="221"/>
    </row>
    <row r="359" spans="1:5">
      <c r="A359" t="s">
        <v>1034</v>
      </c>
      <c r="B359" s="221">
        <v>7</v>
      </c>
      <c r="C359" s="175">
        <v>45563</v>
      </c>
      <c r="D359" s="175">
        <v>45624</v>
      </c>
      <c r="E359" s="221"/>
    </row>
    <row r="360" spans="1:5">
      <c r="A360" t="s">
        <v>1035</v>
      </c>
      <c r="B360" s="221">
        <v>7</v>
      </c>
      <c r="C360" s="175">
        <v>45563</v>
      </c>
      <c r="D360" s="175">
        <v>45624</v>
      </c>
      <c r="E360" s="221"/>
    </row>
    <row r="361" spans="1:5">
      <c r="A361" t="s">
        <v>1036</v>
      </c>
      <c r="B361" s="221">
        <v>7</v>
      </c>
      <c r="C361" s="175">
        <v>45563</v>
      </c>
      <c r="D361" s="175">
        <v>45624</v>
      </c>
      <c r="E361" s="221"/>
    </row>
    <row r="362" spans="1:5">
      <c r="A362" t="s">
        <v>1037</v>
      </c>
      <c r="B362" s="221">
        <v>7</v>
      </c>
      <c r="C362" s="175">
        <v>45563</v>
      </c>
      <c r="D362" s="175">
        <v>45624</v>
      </c>
      <c r="E362" s="221"/>
    </row>
    <row r="363" spans="1:5">
      <c r="A363" t="s">
        <v>1038</v>
      </c>
      <c r="B363" s="221">
        <v>7</v>
      </c>
      <c r="C363" s="175">
        <v>45563</v>
      </c>
      <c r="D363" s="175">
        <v>45624</v>
      </c>
      <c r="E363" s="221"/>
    </row>
    <row r="364" spans="1:5">
      <c r="A364" t="s">
        <v>1039</v>
      </c>
      <c r="B364" s="221">
        <v>7</v>
      </c>
      <c r="C364" s="175">
        <v>45563</v>
      </c>
      <c r="D364" s="175">
        <v>45624</v>
      </c>
      <c r="E364" s="221"/>
    </row>
    <row r="365" spans="1:5">
      <c r="A365" t="s">
        <v>1040</v>
      </c>
      <c r="B365" s="221">
        <v>7</v>
      </c>
      <c r="C365" s="175">
        <v>45562</v>
      </c>
      <c r="D365" s="175">
        <v>45624</v>
      </c>
      <c r="E365" s="221"/>
    </row>
    <row r="366" spans="1:5">
      <c r="A366" t="s">
        <v>1041</v>
      </c>
      <c r="B366" s="221">
        <v>7</v>
      </c>
      <c r="C366" s="175">
        <v>45563</v>
      </c>
      <c r="D366" s="175">
        <v>45624</v>
      </c>
      <c r="E366" s="221"/>
    </row>
    <row r="367" spans="1:5">
      <c r="A367" t="s">
        <v>1042</v>
      </c>
      <c r="B367" s="221">
        <v>7</v>
      </c>
      <c r="C367" s="175">
        <v>45563</v>
      </c>
      <c r="D367" s="175">
        <v>45624</v>
      </c>
      <c r="E367" s="221"/>
    </row>
    <row r="368" spans="1:5">
      <c r="A368" t="s">
        <v>1043</v>
      </c>
      <c r="B368" s="221">
        <v>7</v>
      </c>
      <c r="C368" s="175">
        <v>45563</v>
      </c>
      <c r="D368" s="175">
        <v>45624</v>
      </c>
      <c r="E368" s="221"/>
    </row>
    <row r="369" spans="1:5">
      <c r="A369" t="s">
        <v>1044</v>
      </c>
      <c r="B369" s="221">
        <v>7</v>
      </c>
      <c r="C369" s="175">
        <v>45563</v>
      </c>
      <c r="D369" s="175">
        <v>45624</v>
      </c>
      <c r="E369" s="221"/>
    </row>
    <row r="370" spans="1:5">
      <c r="A370" t="s">
        <v>1045</v>
      </c>
      <c r="B370" s="221">
        <v>0</v>
      </c>
      <c r="C370" s="175">
        <v>45562</v>
      </c>
      <c r="D370" s="221"/>
      <c r="E370" s="221"/>
    </row>
    <row r="371" spans="1:5">
      <c r="A371" t="s">
        <v>1046</v>
      </c>
      <c r="B371" s="221">
        <v>1</v>
      </c>
      <c r="C371" s="221"/>
      <c r="D371" s="221"/>
      <c r="E371" s="221"/>
    </row>
    <row r="372" spans="1:5">
      <c r="A372" t="s">
        <v>1047</v>
      </c>
      <c r="B372" s="221">
        <v>7</v>
      </c>
      <c r="C372" s="175">
        <v>45561</v>
      </c>
      <c r="D372" s="175">
        <v>45624</v>
      </c>
      <c r="E372" s="221"/>
    </row>
    <row r="373" spans="1:5">
      <c r="A373" t="s">
        <v>1048</v>
      </c>
      <c r="B373" s="221">
        <v>7</v>
      </c>
      <c r="C373" s="175">
        <v>45561</v>
      </c>
      <c r="D373" s="175">
        <v>45624</v>
      </c>
      <c r="E373" s="221"/>
    </row>
    <row r="374" spans="1:5">
      <c r="A374" t="s">
        <v>1049</v>
      </c>
      <c r="B374" s="221">
        <v>1</v>
      </c>
      <c r="C374" s="221"/>
      <c r="D374" s="175">
        <v>45603</v>
      </c>
      <c r="E374" s="221"/>
    </row>
    <row r="375" spans="1:5">
      <c r="A375" t="s">
        <v>1050</v>
      </c>
      <c r="B375" s="221">
        <v>1</v>
      </c>
      <c r="C375" s="221"/>
      <c r="D375" s="175">
        <v>45603</v>
      </c>
      <c r="E375" s="221"/>
    </row>
    <row r="376" spans="1:5">
      <c r="A376" t="s">
        <v>1051</v>
      </c>
      <c r="B376" s="221">
        <v>7</v>
      </c>
      <c r="C376" s="175">
        <v>45563</v>
      </c>
      <c r="D376" s="175">
        <v>45603</v>
      </c>
      <c r="E376" s="221"/>
    </row>
    <row r="377" spans="1:5">
      <c r="A377" t="s">
        <v>1052</v>
      </c>
      <c r="B377" s="221">
        <v>1</v>
      </c>
      <c r="C377" s="221"/>
      <c r="D377" s="175">
        <v>45603</v>
      </c>
      <c r="E377" s="221"/>
    </row>
    <row r="378" spans="1:5">
      <c r="A378" t="s">
        <v>1053</v>
      </c>
      <c r="B378" s="221">
        <v>1</v>
      </c>
      <c r="C378" s="221"/>
      <c r="D378" s="175">
        <v>45603</v>
      </c>
      <c r="E378" s="221"/>
    </row>
    <row r="379" spans="1:5">
      <c r="A379" t="s">
        <v>1054</v>
      </c>
      <c r="B379" s="221">
        <v>1</v>
      </c>
      <c r="C379" s="221"/>
      <c r="D379" s="175">
        <v>45603</v>
      </c>
      <c r="E379" s="221"/>
    </row>
    <row r="380" spans="1:5">
      <c r="A380" t="s">
        <v>1055</v>
      </c>
      <c r="B380" s="221">
        <v>1</v>
      </c>
      <c r="C380" s="221"/>
      <c r="D380" s="175">
        <v>45603</v>
      </c>
      <c r="E380" s="221"/>
    </row>
    <row r="381" spans="1:5">
      <c r="A381" t="s">
        <v>1056</v>
      </c>
      <c r="B381" s="221">
        <v>1</v>
      </c>
      <c r="C381" s="221"/>
      <c r="D381" s="175">
        <v>45603</v>
      </c>
      <c r="E381" s="221"/>
    </row>
    <row r="382" spans="1:5">
      <c r="A382" t="s">
        <v>1057</v>
      </c>
      <c r="B382" s="221">
        <v>1</v>
      </c>
      <c r="C382" s="221"/>
      <c r="D382" s="175">
        <v>45603</v>
      </c>
      <c r="E382" s="221"/>
    </row>
    <row r="383" spans="1:5">
      <c r="A383" t="s">
        <v>1058</v>
      </c>
      <c r="B383" s="221">
        <v>7</v>
      </c>
      <c r="C383" s="175">
        <v>45563</v>
      </c>
      <c r="D383" s="175">
        <v>45603</v>
      </c>
      <c r="E383" s="221"/>
    </row>
    <row r="384" spans="1:5">
      <c r="A384" t="s">
        <v>1059</v>
      </c>
      <c r="B384" s="221">
        <v>7</v>
      </c>
      <c r="C384" s="175">
        <v>45563</v>
      </c>
      <c r="D384" s="175">
        <v>45603</v>
      </c>
      <c r="E384" s="221"/>
    </row>
    <row r="385" spans="1:5">
      <c r="A385" t="s">
        <v>1060</v>
      </c>
      <c r="B385" s="221">
        <v>7</v>
      </c>
      <c r="C385" s="175">
        <v>45563</v>
      </c>
      <c r="D385" s="175">
        <v>45603</v>
      </c>
      <c r="E385" s="221"/>
    </row>
    <row r="386" spans="1:5">
      <c r="A386" t="s">
        <v>1061</v>
      </c>
      <c r="B386" s="221">
        <v>6</v>
      </c>
      <c r="C386" s="175">
        <v>45561</v>
      </c>
      <c r="D386" s="175">
        <v>45603</v>
      </c>
      <c r="E386" s="221"/>
    </row>
    <row r="387" spans="1:5">
      <c r="A387" t="s">
        <v>1062</v>
      </c>
      <c r="B387" s="221">
        <v>6</v>
      </c>
      <c r="C387" s="175">
        <v>45561</v>
      </c>
      <c r="D387" s="175">
        <v>45603</v>
      </c>
      <c r="E387" s="221"/>
    </row>
    <row r="388" spans="1:5">
      <c r="A388" t="s">
        <v>1063</v>
      </c>
      <c r="B388" s="221">
        <v>1</v>
      </c>
      <c r="C388" s="221"/>
      <c r="D388" s="175">
        <v>45603</v>
      </c>
      <c r="E388" s="221"/>
    </row>
    <row r="389" spans="1:5">
      <c r="A389" t="s">
        <v>1064</v>
      </c>
      <c r="B389" s="221">
        <v>1</v>
      </c>
      <c r="C389" s="221"/>
      <c r="D389" s="175">
        <v>45603</v>
      </c>
      <c r="E389" s="221"/>
    </row>
    <row r="390" spans="1:5">
      <c r="A390" t="s">
        <v>1065</v>
      </c>
      <c r="B390" s="221">
        <v>1</v>
      </c>
      <c r="C390" s="221"/>
      <c r="D390" s="175">
        <v>45603</v>
      </c>
      <c r="E390" s="221"/>
    </row>
    <row r="391" spans="1:5">
      <c r="A391" t="s">
        <v>1066</v>
      </c>
      <c r="B391" s="221">
        <v>7</v>
      </c>
      <c r="C391" s="175">
        <v>45563</v>
      </c>
      <c r="D391" s="175">
        <v>45603</v>
      </c>
      <c r="E391" s="221"/>
    </row>
    <row r="392" spans="1:5">
      <c r="A392" t="s">
        <v>1067</v>
      </c>
      <c r="B392" s="221">
        <v>7</v>
      </c>
      <c r="C392" s="175">
        <v>45563</v>
      </c>
      <c r="D392" s="175">
        <v>45603</v>
      </c>
      <c r="E392" s="221"/>
    </row>
    <row r="393" spans="1:5">
      <c r="A393" t="s">
        <v>1068</v>
      </c>
      <c r="B393" s="221">
        <v>7</v>
      </c>
      <c r="C393" s="175">
        <v>45563</v>
      </c>
      <c r="D393" s="175">
        <v>45603</v>
      </c>
      <c r="E393" s="221"/>
    </row>
    <row r="394" spans="1:5">
      <c r="A394" t="s">
        <v>1069</v>
      </c>
      <c r="B394" s="221">
        <v>0</v>
      </c>
      <c r="C394" s="175">
        <v>45561</v>
      </c>
      <c r="D394" s="221"/>
      <c r="E394" s="221"/>
    </row>
    <row r="395" spans="1:5">
      <c r="A395" t="s">
        <v>1070</v>
      </c>
      <c r="B395" s="221">
        <v>7</v>
      </c>
      <c r="C395" s="175">
        <v>45563</v>
      </c>
      <c r="D395" s="175">
        <v>45603</v>
      </c>
      <c r="E395" s="221"/>
    </row>
    <row r="396" spans="1:5">
      <c r="A396" t="s">
        <v>1071</v>
      </c>
      <c r="B396" s="221">
        <v>7</v>
      </c>
      <c r="C396" s="175">
        <v>45563</v>
      </c>
      <c r="D396" s="175">
        <v>45603</v>
      </c>
      <c r="E396" s="221"/>
    </row>
    <row r="397" spans="1:5">
      <c r="A397" t="s">
        <v>1072</v>
      </c>
      <c r="B397" s="221">
        <v>7</v>
      </c>
      <c r="C397" s="175">
        <v>45563</v>
      </c>
      <c r="D397" s="175">
        <v>45603</v>
      </c>
      <c r="E397" s="221"/>
    </row>
    <row r="398" spans="1:5">
      <c r="A398" t="s">
        <v>1073</v>
      </c>
      <c r="B398" s="221">
        <v>7</v>
      </c>
      <c r="C398" s="175">
        <v>45563</v>
      </c>
      <c r="D398" s="175">
        <v>45603</v>
      </c>
      <c r="E398" s="221"/>
    </row>
    <row r="399" spans="1:5">
      <c r="A399" t="s">
        <v>1074</v>
      </c>
      <c r="B399" s="221">
        <v>7</v>
      </c>
      <c r="C399" s="175">
        <v>45563</v>
      </c>
      <c r="D399" s="175">
        <v>45603</v>
      </c>
      <c r="E399" s="221"/>
    </row>
    <row r="400" spans="1:5">
      <c r="A400" t="s">
        <v>1075</v>
      </c>
      <c r="B400" s="221">
        <v>0</v>
      </c>
      <c r="C400" s="175">
        <v>45561</v>
      </c>
      <c r="D400" s="221"/>
      <c r="E400" s="221"/>
    </row>
    <row r="401" spans="1:5">
      <c r="A401" t="s">
        <v>1076</v>
      </c>
      <c r="B401" s="221">
        <v>1</v>
      </c>
      <c r="C401" s="221"/>
      <c r="D401" s="175">
        <v>45603</v>
      </c>
      <c r="E401" s="221"/>
    </row>
    <row r="402" spans="1:5">
      <c r="A402" t="s">
        <v>1077</v>
      </c>
      <c r="B402" s="221">
        <v>7</v>
      </c>
      <c r="C402" s="175">
        <v>45563</v>
      </c>
      <c r="D402" s="175">
        <v>45603</v>
      </c>
      <c r="E402" s="221"/>
    </row>
    <row r="403" spans="1:5">
      <c r="A403" t="s">
        <v>1078</v>
      </c>
      <c r="B403" s="221">
        <v>7</v>
      </c>
      <c r="C403" s="175">
        <v>45563</v>
      </c>
      <c r="D403" s="175">
        <v>45603</v>
      </c>
      <c r="E403" s="221"/>
    </row>
    <row r="404" spans="1:5">
      <c r="A404" t="s">
        <v>1079</v>
      </c>
      <c r="B404" s="221">
        <v>7</v>
      </c>
      <c r="C404" s="175">
        <v>45563</v>
      </c>
      <c r="D404" s="175">
        <v>45603</v>
      </c>
      <c r="E404" s="221"/>
    </row>
    <row r="405" spans="1:5">
      <c r="A405" t="s">
        <v>1080</v>
      </c>
      <c r="B405" s="221">
        <v>1</v>
      </c>
      <c r="C405" s="221"/>
      <c r="D405" s="221"/>
      <c r="E405" s="221"/>
    </row>
    <row r="406" spans="1:5">
      <c r="A406" t="s">
        <v>1081</v>
      </c>
      <c r="B406" s="221">
        <v>0</v>
      </c>
      <c r="C406" s="221"/>
      <c r="D406" s="221"/>
      <c r="E406" s="221"/>
    </row>
    <row r="407" spans="1:5">
      <c r="A407" t="s">
        <v>1082</v>
      </c>
      <c r="B407" s="221">
        <v>1</v>
      </c>
      <c r="C407" s="221"/>
      <c r="D407" s="221"/>
      <c r="E407" s="221"/>
    </row>
    <row r="408" spans="1:5">
      <c r="A408" t="s">
        <v>1083</v>
      </c>
      <c r="B408" s="221">
        <v>1</v>
      </c>
      <c r="C408" s="221"/>
      <c r="D408" s="221"/>
      <c r="E408" s="221"/>
    </row>
    <row r="409" spans="1:5">
      <c r="A409" t="s">
        <v>1084</v>
      </c>
      <c r="B409" s="221">
        <v>1</v>
      </c>
      <c r="C409" s="221"/>
      <c r="D409" s="221"/>
      <c r="E409" s="221"/>
    </row>
    <row r="410" spans="1:5">
      <c r="A410" t="s">
        <v>1085</v>
      </c>
      <c r="B410" s="221">
        <v>1</v>
      </c>
      <c r="C410" s="221"/>
      <c r="D410" s="221"/>
      <c r="E410" s="221"/>
    </row>
    <row r="411" spans="1:5">
      <c r="A411" t="s">
        <v>1086</v>
      </c>
      <c r="B411" s="221">
        <v>1</v>
      </c>
      <c r="C411" s="221"/>
      <c r="D411" s="221"/>
      <c r="E411" s="221"/>
    </row>
    <row r="412" spans="1:5">
      <c r="A412" t="s">
        <v>1087</v>
      </c>
      <c r="B412" s="221">
        <v>1</v>
      </c>
      <c r="C412" s="221"/>
      <c r="D412" s="221"/>
      <c r="E412" s="221"/>
    </row>
    <row r="413" spans="1:5">
      <c r="A413" t="s">
        <v>1088</v>
      </c>
      <c r="B413" s="221">
        <v>1</v>
      </c>
      <c r="C413" s="221"/>
      <c r="D413" s="221"/>
      <c r="E413" s="221"/>
    </row>
    <row r="414" spans="1:5">
      <c r="A414" t="s">
        <v>1089</v>
      </c>
      <c r="B414" s="221">
        <v>1</v>
      </c>
      <c r="C414" s="221"/>
      <c r="D414" s="221"/>
      <c r="E414" s="221"/>
    </row>
    <row r="415" spans="1:5">
      <c r="A415" t="s">
        <v>1090</v>
      </c>
      <c r="B415" s="221">
        <v>1</v>
      </c>
      <c r="C415" s="221"/>
      <c r="D415" s="221"/>
      <c r="E415" s="221"/>
    </row>
    <row r="416" spans="1:5">
      <c r="A416" t="s">
        <v>1091</v>
      </c>
      <c r="B416" s="221">
        <v>1</v>
      </c>
      <c r="C416" s="221"/>
      <c r="D416" s="221"/>
      <c r="E416" s="221"/>
    </row>
    <row r="417" spans="1:5">
      <c r="A417" t="s">
        <v>1092</v>
      </c>
      <c r="B417" s="221">
        <v>1</v>
      </c>
      <c r="C417" s="221"/>
      <c r="D417" s="221"/>
      <c r="E417" s="221"/>
    </row>
    <row r="418" spans="1:5">
      <c r="A418" t="s">
        <v>1093</v>
      </c>
      <c r="B418" s="221">
        <v>1</v>
      </c>
      <c r="C418" s="221"/>
      <c r="D418" s="221"/>
      <c r="E418" s="221"/>
    </row>
    <row r="419" spans="1:5">
      <c r="A419" t="s">
        <v>1094</v>
      </c>
      <c r="B419" s="221">
        <v>1</v>
      </c>
      <c r="C419" s="221"/>
      <c r="D419" s="221"/>
      <c r="E419" s="221"/>
    </row>
    <row r="420" spans="1:5">
      <c r="A420" t="s">
        <v>1095</v>
      </c>
      <c r="B420" s="221">
        <v>1</v>
      </c>
      <c r="C420" s="221"/>
      <c r="D420" s="221"/>
      <c r="E420" s="221"/>
    </row>
    <row r="421" spans="1:5">
      <c r="A421" t="s">
        <v>1096</v>
      </c>
      <c r="B421" s="221">
        <v>0</v>
      </c>
      <c r="C421" s="221"/>
      <c r="D421" s="221"/>
      <c r="E421" s="221"/>
    </row>
    <row r="422" spans="1:5">
      <c r="A422" t="s">
        <v>1097</v>
      </c>
      <c r="B422" s="221">
        <v>1</v>
      </c>
      <c r="C422" s="175">
        <v>45512</v>
      </c>
      <c r="D422" s="175">
        <v>45526</v>
      </c>
      <c r="E422" s="221"/>
    </row>
    <row r="423" spans="1:5">
      <c r="A423" t="s">
        <v>1098</v>
      </c>
      <c r="B423" s="221">
        <v>1</v>
      </c>
      <c r="C423" s="221"/>
      <c r="D423" s="221"/>
      <c r="E423" s="221"/>
    </row>
    <row r="424" spans="1:5">
      <c r="A424" t="s">
        <v>1099</v>
      </c>
      <c r="B424" s="221">
        <v>1</v>
      </c>
      <c r="C424" s="221"/>
      <c r="D424" s="221"/>
      <c r="E424" s="221"/>
    </row>
    <row r="425" spans="1:5">
      <c r="A425" t="s">
        <v>1100</v>
      </c>
      <c r="B425" s="221">
        <v>1</v>
      </c>
      <c r="C425" s="221"/>
      <c r="D425" s="221"/>
      <c r="E425" s="221"/>
    </row>
    <row r="426" spans="1:5">
      <c r="A426" t="s">
        <v>1101</v>
      </c>
      <c r="B426" s="221">
        <v>0</v>
      </c>
      <c r="C426" s="221"/>
      <c r="D426" s="221"/>
      <c r="E426" s="221"/>
    </row>
    <row r="427" spans="1:5">
      <c r="A427" t="s">
        <v>1102</v>
      </c>
      <c r="B427" s="221">
        <v>0</v>
      </c>
      <c r="C427" s="221"/>
      <c r="D427" s="221"/>
      <c r="E427" s="221"/>
    </row>
    <row r="428" spans="1:5">
      <c r="A428" t="s">
        <v>1103</v>
      </c>
      <c r="B428" s="221">
        <v>1</v>
      </c>
      <c r="C428" s="221"/>
      <c r="D428" s="221"/>
      <c r="E428" s="221"/>
    </row>
    <row r="429" spans="1:5">
      <c r="A429" t="s">
        <v>1104</v>
      </c>
      <c r="B429" s="221">
        <v>0</v>
      </c>
      <c r="C429" s="221"/>
      <c r="D429" s="221"/>
      <c r="E429" s="221"/>
    </row>
    <row r="430" spans="1:5">
      <c r="A430" t="s">
        <v>1105</v>
      </c>
      <c r="B430" s="221">
        <v>1</v>
      </c>
      <c r="C430" s="221"/>
      <c r="D430" s="221"/>
      <c r="E430" s="221"/>
    </row>
    <row r="431" spans="1:5">
      <c r="A431" t="s">
        <v>1106</v>
      </c>
      <c r="B431" s="221">
        <v>1</v>
      </c>
      <c r="C431" s="221"/>
      <c r="D431" s="221"/>
      <c r="E431" s="221"/>
    </row>
    <row r="432" spans="1:5">
      <c r="A432" t="s">
        <v>1107</v>
      </c>
      <c r="B432" s="221">
        <v>1</v>
      </c>
      <c r="C432" s="221"/>
      <c r="D432" s="221"/>
      <c r="E432" s="221"/>
    </row>
    <row r="433" spans="1:5">
      <c r="A433" t="s">
        <v>1108</v>
      </c>
      <c r="B433" s="221">
        <v>1</v>
      </c>
      <c r="C433" s="221"/>
      <c r="D433" s="221"/>
      <c r="E433" s="221"/>
    </row>
    <row r="434" spans="1:5">
      <c r="A434" t="s">
        <v>1109</v>
      </c>
      <c r="B434" s="221">
        <v>1</v>
      </c>
      <c r="C434" s="221"/>
      <c r="D434" s="221"/>
      <c r="E434" s="221"/>
    </row>
    <row r="435" spans="1:5">
      <c r="A435" t="s">
        <v>1110</v>
      </c>
      <c r="B435" s="221">
        <v>1</v>
      </c>
      <c r="C435" s="221"/>
      <c r="D435" s="221"/>
      <c r="E435" s="221"/>
    </row>
    <row r="436" spans="1:5">
      <c r="A436" t="s">
        <v>1111</v>
      </c>
      <c r="B436" s="221">
        <v>1</v>
      </c>
      <c r="C436" s="221"/>
      <c r="D436" s="221"/>
      <c r="E436" s="221"/>
    </row>
    <row r="437" spans="1:5">
      <c r="A437" t="s">
        <v>1112</v>
      </c>
      <c r="B437" s="221">
        <v>1</v>
      </c>
      <c r="C437" s="221"/>
      <c r="D437" s="221"/>
      <c r="E437" s="221"/>
    </row>
    <row r="438" spans="1:5">
      <c r="A438" t="s">
        <v>1113</v>
      </c>
      <c r="B438" s="221">
        <v>1</v>
      </c>
      <c r="C438" s="221"/>
      <c r="D438" s="221"/>
      <c r="E438" s="221"/>
    </row>
    <row r="439" spans="1:5">
      <c r="A439" t="s">
        <v>1114</v>
      </c>
      <c r="B439" s="221">
        <v>7</v>
      </c>
      <c r="C439" s="175">
        <v>45562</v>
      </c>
      <c r="D439" s="175">
        <v>45607</v>
      </c>
      <c r="E439" s="221"/>
    </row>
    <row r="440" spans="1:5">
      <c r="A440" t="s">
        <v>1115</v>
      </c>
      <c r="B440" s="221">
        <v>7</v>
      </c>
      <c r="C440" s="175">
        <v>45562</v>
      </c>
      <c r="D440" s="175">
        <v>45607</v>
      </c>
      <c r="E440" s="221"/>
    </row>
    <row r="441" spans="1:5">
      <c r="A441" t="s">
        <v>1116</v>
      </c>
      <c r="B441" s="221">
        <v>1</v>
      </c>
      <c r="C441" s="221"/>
      <c r="D441" s="221"/>
      <c r="E441" s="221"/>
    </row>
    <row r="442" spans="1:5">
      <c r="A442" t="s">
        <v>1117</v>
      </c>
      <c r="B442" s="221">
        <v>1</v>
      </c>
      <c r="C442" s="221"/>
      <c r="D442" s="221"/>
      <c r="E442" s="221"/>
    </row>
    <row r="443" spans="1:5">
      <c r="A443" t="s">
        <v>1118</v>
      </c>
      <c r="B443" s="221">
        <v>1</v>
      </c>
      <c r="C443" s="221"/>
      <c r="D443" s="221"/>
      <c r="E443" s="221"/>
    </row>
    <row r="444" spans="1:5">
      <c r="A444" t="s">
        <v>1119</v>
      </c>
      <c r="B444" s="221">
        <v>7</v>
      </c>
      <c r="C444" s="175">
        <v>45562</v>
      </c>
      <c r="D444" s="175">
        <v>45607</v>
      </c>
      <c r="E444" s="221"/>
    </row>
    <row r="445" spans="1:5">
      <c r="A445" t="s">
        <v>1120</v>
      </c>
      <c r="B445" s="221">
        <v>1</v>
      </c>
      <c r="C445" s="221"/>
      <c r="D445" s="221"/>
      <c r="E445" s="221"/>
    </row>
    <row r="446" spans="1:5">
      <c r="A446" t="s">
        <v>1121</v>
      </c>
      <c r="B446" s="221">
        <v>7</v>
      </c>
      <c r="C446" s="175">
        <v>45562</v>
      </c>
      <c r="D446" s="175">
        <v>45607</v>
      </c>
      <c r="E446" s="221"/>
    </row>
    <row r="447" spans="1:5">
      <c r="A447" t="s">
        <v>1122</v>
      </c>
      <c r="B447" s="221">
        <v>7</v>
      </c>
      <c r="C447" s="175">
        <v>45562</v>
      </c>
      <c r="D447" s="175">
        <v>45607</v>
      </c>
      <c r="E447" s="221"/>
    </row>
    <row r="448" spans="1:5">
      <c r="A448" t="s">
        <v>1123</v>
      </c>
      <c r="B448" s="221">
        <v>1</v>
      </c>
      <c r="C448" s="221"/>
      <c r="D448" s="221"/>
      <c r="E448" s="221"/>
    </row>
    <row r="449" spans="1:5">
      <c r="A449" t="s">
        <v>1124</v>
      </c>
      <c r="B449" s="221">
        <v>1</v>
      </c>
      <c r="C449" s="221"/>
      <c r="D449" s="221"/>
      <c r="E449" s="221"/>
    </row>
    <row r="450" spans="1:5">
      <c r="A450" t="s">
        <v>1125</v>
      </c>
      <c r="B450" s="221">
        <v>1</v>
      </c>
      <c r="C450" s="221"/>
      <c r="D450" s="221"/>
      <c r="E450" s="221"/>
    </row>
    <row r="451" spans="1:5">
      <c r="A451" t="s">
        <v>1126</v>
      </c>
      <c r="B451" s="221">
        <v>7</v>
      </c>
      <c r="C451" s="175">
        <v>45562</v>
      </c>
      <c r="D451" s="175">
        <v>45607</v>
      </c>
      <c r="E451" s="221"/>
    </row>
    <row r="452" spans="1:5">
      <c r="A452" t="s">
        <v>1127</v>
      </c>
      <c r="B452" s="221">
        <v>1</v>
      </c>
      <c r="C452" s="221"/>
      <c r="D452" s="221"/>
      <c r="E452" s="221"/>
    </row>
    <row r="453" spans="1:5">
      <c r="A453" t="s">
        <v>1128</v>
      </c>
      <c r="B453" s="221">
        <v>1</v>
      </c>
      <c r="C453" s="221"/>
      <c r="D453" s="221"/>
      <c r="E453" s="221"/>
    </row>
    <row r="454" spans="1:5">
      <c r="A454" t="s">
        <v>1129</v>
      </c>
      <c r="B454" s="221">
        <v>1</v>
      </c>
      <c r="C454" s="221"/>
      <c r="D454" s="221"/>
      <c r="E454" s="221"/>
    </row>
    <row r="455" spans="1:5">
      <c r="A455" t="s">
        <v>1130</v>
      </c>
      <c r="B455" s="221">
        <v>7</v>
      </c>
      <c r="C455" s="175">
        <v>45562</v>
      </c>
      <c r="D455" s="175">
        <v>45607</v>
      </c>
      <c r="E455" s="221"/>
    </row>
    <row r="456" spans="1:5">
      <c r="A456" t="s">
        <v>1131</v>
      </c>
      <c r="B456" s="221">
        <v>1</v>
      </c>
      <c r="C456" s="221"/>
      <c r="D456" s="221"/>
      <c r="E456" s="221"/>
    </row>
    <row r="457" spans="1:5">
      <c r="A457" t="s">
        <v>1132</v>
      </c>
      <c r="B457" s="221">
        <v>1</v>
      </c>
      <c r="C457" s="221"/>
      <c r="D457" s="221"/>
      <c r="E457" s="221"/>
    </row>
    <row r="458" spans="1:5">
      <c r="A458" t="s">
        <v>1133</v>
      </c>
      <c r="B458" s="221">
        <v>1</v>
      </c>
      <c r="C458" s="221"/>
      <c r="D458" s="221"/>
      <c r="E458" s="221"/>
    </row>
    <row r="459" spans="1:5">
      <c r="A459" t="s">
        <v>1134</v>
      </c>
      <c r="B459" s="221">
        <v>7</v>
      </c>
      <c r="C459" s="175">
        <v>45562</v>
      </c>
      <c r="D459" s="175">
        <v>45607</v>
      </c>
      <c r="E459" s="221"/>
    </row>
    <row r="460" spans="1:5">
      <c r="A460" t="s">
        <v>1135</v>
      </c>
      <c r="B460" s="221">
        <v>7</v>
      </c>
      <c r="C460" s="175">
        <v>45562</v>
      </c>
      <c r="D460" s="175">
        <v>45607</v>
      </c>
      <c r="E460" s="221"/>
    </row>
    <row r="461" spans="1:5">
      <c r="A461" t="s">
        <v>1136</v>
      </c>
      <c r="B461" s="221">
        <v>1</v>
      </c>
      <c r="C461" s="221"/>
      <c r="D461" s="221"/>
      <c r="E461" s="221"/>
    </row>
    <row r="462" spans="1:5">
      <c r="A462" t="s">
        <v>1137</v>
      </c>
      <c r="B462" s="221">
        <v>7</v>
      </c>
      <c r="C462" s="175">
        <v>45562</v>
      </c>
      <c r="D462" s="175">
        <v>45607</v>
      </c>
      <c r="E462" s="221"/>
    </row>
    <row r="463" spans="1:5">
      <c r="A463" t="s">
        <v>1138</v>
      </c>
      <c r="B463" s="221">
        <v>7</v>
      </c>
      <c r="C463" s="175">
        <v>45562</v>
      </c>
      <c r="D463" s="175">
        <v>45607</v>
      </c>
      <c r="E463" s="221"/>
    </row>
    <row r="464" spans="1:5">
      <c r="A464" t="s">
        <v>1139</v>
      </c>
      <c r="B464" s="221">
        <v>7</v>
      </c>
      <c r="C464" s="175">
        <v>45562</v>
      </c>
      <c r="D464" s="175">
        <v>45607</v>
      </c>
      <c r="E464" s="221"/>
    </row>
    <row r="465" spans="1:5">
      <c r="A465" t="s">
        <v>1140</v>
      </c>
      <c r="B465" s="221">
        <v>7</v>
      </c>
      <c r="C465" s="175">
        <v>45562</v>
      </c>
      <c r="D465" s="175">
        <v>45607</v>
      </c>
      <c r="E465" s="221"/>
    </row>
    <row r="466" spans="1:5">
      <c r="A466" t="s">
        <v>1141</v>
      </c>
      <c r="B466" s="221">
        <v>1</v>
      </c>
      <c r="C466" s="221"/>
      <c r="D466" s="221"/>
      <c r="E466" s="221"/>
    </row>
    <row r="467" spans="1:5">
      <c r="A467" t="s">
        <v>1142</v>
      </c>
      <c r="B467" s="221">
        <v>1</v>
      </c>
      <c r="C467" s="221"/>
      <c r="D467" s="221"/>
      <c r="E467" s="221"/>
    </row>
    <row r="468" spans="1:5">
      <c r="A468" t="s">
        <v>1143</v>
      </c>
      <c r="B468" s="221">
        <v>7</v>
      </c>
      <c r="C468" s="175">
        <v>45562</v>
      </c>
      <c r="D468" s="175">
        <v>45607</v>
      </c>
      <c r="E468" s="221"/>
    </row>
    <row r="469" spans="1:5">
      <c r="A469" t="s">
        <v>1144</v>
      </c>
      <c r="B469" s="221">
        <v>7</v>
      </c>
      <c r="C469" s="175">
        <v>45562</v>
      </c>
      <c r="D469" s="175">
        <v>45607</v>
      </c>
      <c r="E469" s="221"/>
    </row>
    <row r="470" spans="1:5">
      <c r="A470" t="s">
        <v>1145</v>
      </c>
      <c r="B470" s="221">
        <v>1</v>
      </c>
      <c r="C470" s="221"/>
      <c r="D470" s="221"/>
      <c r="E470" s="221"/>
    </row>
    <row r="471" spans="1:5">
      <c r="A471" t="s">
        <v>1146</v>
      </c>
      <c r="B471" s="221">
        <v>7</v>
      </c>
      <c r="C471" s="175">
        <v>45562</v>
      </c>
      <c r="D471" s="175">
        <v>45607</v>
      </c>
      <c r="E471" s="221"/>
    </row>
    <row r="472" spans="1:5">
      <c r="A472" t="s">
        <v>1147</v>
      </c>
      <c r="B472" s="221">
        <v>7</v>
      </c>
      <c r="C472" s="175">
        <v>45562</v>
      </c>
      <c r="D472" s="175">
        <v>45607</v>
      </c>
      <c r="E472" s="221"/>
    </row>
    <row r="473" spans="1:5">
      <c r="A473" t="s">
        <v>1148</v>
      </c>
      <c r="B473" s="221">
        <v>1</v>
      </c>
      <c r="C473" s="221"/>
      <c r="D473" s="221"/>
      <c r="E473" s="221"/>
    </row>
    <row r="474" spans="1:5">
      <c r="A474" t="s">
        <v>1149</v>
      </c>
      <c r="B474" s="221">
        <v>1</v>
      </c>
      <c r="C474" s="221"/>
      <c r="D474" s="221"/>
      <c r="E474" s="221"/>
    </row>
    <row r="475" spans="1:5">
      <c r="A475" t="s">
        <v>1150</v>
      </c>
      <c r="B475" s="221">
        <v>1</v>
      </c>
      <c r="C475" s="221"/>
      <c r="D475" s="221"/>
      <c r="E475" s="221"/>
    </row>
    <row r="476" spans="1:5">
      <c r="A476" t="s">
        <v>1151</v>
      </c>
      <c r="B476" s="221">
        <v>1</v>
      </c>
      <c r="C476" s="221"/>
      <c r="D476" s="221"/>
      <c r="E476" s="221"/>
    </row>
    <row r="477" spans="1:5">
      <c r="A477" t="s">
        <v>1152</v>
      </c>
      <c r="B477" s="221">
        <v>1</v>
      </c>
      <c r="C477" s="221"/>
      <c r="D477" s="221"/>
      <c r="E477" s="221"/>
    </row>
    <row r="478" spans="1:5">
      <c r="A478" t="s">
        <v>1153</v>
      </c>
      <c r="B478" s="221">
        <v>1</v>
      </c>
      <c r="C478" s="221"/>
      <c r="D478" s="221"/>
      <c r="E478" s="221"/>
    </row>
    <row r="479" spans="1:5">
      <c r="A479" t="s">
        <v>1154</v>
      </c>
      <c r="B479" s="221">
        <v>1</v>
      </c>
      <c r="C479" s="221"/>
      <c r="D479" s="221"/>
      <c r="E479" s="221"/>
    </row>
    <row r="480" spans="1:5">
      <c r="A480" t="s">
        <v>1155</v>
      </c>
      <c r="B480" s="221">
        <v>1</v>
      </c>
      <c r="C480" s="221"/>
      <c r="D480" s="221"/>
      <c r="E480" s="221"/>
    </row>
    <row r="481" spans="1:5">
      <c r="A481" t="s">
        <v>1156</v>
      </c>
      <c r="B481" s="221">
        <v>1</v>
      </c>
      <c r="C481" s="221"/>
      <c r="D481" s="221"/>
      <c r="E481" s="221"/>
    </row>
    <row r="482" spans="1:5">
      <c r="A482" t="s">
        <v>1157</v>
      </c>
      <c r="B482" s="221">
        <v>1</v>
      </c>
      <c r="C482" s="221"/>
      <c r="D482" s="221"/>
      <c r="E482" s="221"/>
    </row>
    <row r="483" spans="1:5">
      <c r="A483" t="s">
        <v>1158</v>
      </c>
      <c r="B483" s="221">
        <v>7</v>
      </c>
      <c r="C483" s="175">
        <v>45562</v>
      </c>
      <c r="D483" s="175">
        <v>45607</v>
      </c>
      <c r="E483" s="221"/>
    </row>
    <row r="484" spans="1:5">
      <c r="A484" t="s">
        <v>1159</v>
      </c>
      <c r="B484" s="221">
        <v>1</v>
      </c>
      <c r="C484" s="221"/>
      <c r="D484" s="221"/>
      <c r="E484" s="221"/>
    </row>
    <row r="485" spans="1:5">
      <c r="A485" t="s">
        <v>1160</v>
      </c>
      <c r="B485" s="221">
        <v>1</v>
      </c>
      <c r="C485" s="221"/>
      <c r="D485" s="221"/>
      <c r="E485" s="221"/>
    </row>
    <row r="486" spans="1:5">
      <c r="A486" t="s">
        <v>1161</v>
      </c>
      <c r="B486" s="221">
        <v>1</v>
      </c>
      <c r="C486" s="221"/>
      <c r="D486" s="221"/>
      <c r="E486" s="221"/>
    </row>
    <row r="487" spans="1:5">
      <c r="A487" t="s">
        <v>1162</v>
      </c>
      <c r="B487" s="221">
        <v>7</v>
      </c>
      <c r="C487" s="175">
        <v>45562</v>
      </c>
      <c r="D487" s="175">
        <v>45607</v>
      </c>
      <c r="E487" s="221"/>
    </row>
    <row r="488" spans="1:5">
      <c r="A488" t="s">
        <v>1163</v>
      </c>
      <c r="B488" s="221">
        <v>7</v>
      </c>
      <c r="C488" s="175">
        <v>45562</v>
      </c>
      <c r="D488" s="175">
        <v>45607</v>
      </c>
      <c r="E488" s="221"/>
    </row>
    <row r="489" spans="1:5">
      <c r="A489" t="s">
        <v>1164</v>
      </c>
      <c r="B489" s="221">
        <v>1</v>
      </c>
      <c r="C489" s="221"/>
      <c r="D489" s="221"/>
      <c r="E489" s="221"/>
    </row>
    <row r="490" spans="1:5">
      <c r="A490" t="s">
        <v>1165</v>
      </c>
      <c r="B490" s="221">
        <v>1</v>
      </c>
      <c r="C490" s="221"/>
      <c r="D490" s="221"/>
      <c r="E490" s="221"/>
    </row>
    <row r="491" spans="1:5">
      <c r="A491" t="s">
        <v>1166</v>
      </c>
      <c r="B491" s="221">
        <v>1</v>
      </c>
      <c r="C491" s="221"/>
      <c r="D491" s="221"/>
      <c r="E491" s="221"/>
    </row>
    <row r="492" spans="1:5">
      <c r="A492" t="s">
        <v>1167</v>
      </c>
      <c r="B492" s="221">
        <v>1</v>
      </c>
      <c r="C492" s="221"/>
      <c r="D492" s="221"/>
      <c r="E492" s="221"/>
    </row>
    <row r="493" spans="1:5">
      <c r="A493" t="s">
        <v>1168</v>
      </c>
      <c r="B493" s="221">
        <v>7</v>
      </c>
      <c r="C493" s="175">
        <v>45562</v>
      </c>
      <c r="D493" s="175">
        <v>45607</v>
      </c>
      <c r="E493" s="221"/>
    </row>
    <row r="494" spans="1:5">
      <c r="A494" t="s">
        <v>1169</v>
      </c>
      <c r="B494" s="221">
        <v>1</v>
      </c>
      <c r="C494" s="221"/>
      <c r="D494" s="221"/>
      <c r="E494" s="221"/>
    </row>
    <row r="495" spans="1:5">
      <c r="A495" t="s">
        <v>1170</v>
      </c>
      <c r="B495" s="221">
        <v>1</v>
      </c>
      <c r="C495" s="221"/>
      <c r="D495" s="221"/>
      <c r="E495" s="221"/>
    </row>
    <row r="496" spans="1:5">
      <c r="A496" t="s">
        <v>1171</v>
      </c>
      <c r="B496" s="221">
        <v>1</v>
      </c>
      <c r="C496" s="221"/>
      <c r="D496" s="221"/>
      <c r="E496" s="221"/>
    </row>
    <row r="497" spans="1:5">
      <c r="A497" t="s">
        <v>1172</v>
      </c>
      <c r="B497" s="221">
        <v>7</v>
      </c>
      <c r="C497" s="175">
        <v>45562</v>
      </c>
      <c r="D497" s="175">
        <v>45607</v>
      </c>
      <c r="E497" s="221"/>
    </row>
    <row r="498" spans="1:5">
      <c r="A498" t="s">
        <v>1173</v>
      </c>
      <c r="B498" s="221">
        <v>1</v>
      </c>
      <c r="C498" s="221"/>
      <c r="D498" s="221"/>
      <c r="E498" s="221"/>
    </row>
    <row r="499" spans="1:5">
      <c r="A499" t="s">
        <v>1174</v>
      </c>
      <c r="B499" s="221">
        <v>1</v>
      </c>
      <c r="C499" s="221"/>
      <c r="D499" s="221"/>
      <c r="E499" s="221"/>
    </row>
    <row r="500" spans="1:5">
      <c r="A500" t="s">
        <v>1175</v>
      </c>
      <c r="B500" s="221">
        <v>1</v>
      </c>
      <c r="C500" s="221"/>
      <c r="D500" s="221"/>
      <c r="E500" s="221"/>
    </row>
    <row r="501" spans="1:5">
      <c r="A501" t="s">
        <v>1176</v>
      </c>
      <c r="B501" s="221">
        <v>1</v>
      </c>
      <c r="C501" s="221"/>
      <c r="D501" s="221"/>
      <c r="E501" s="221"/>
    </row>
    <row r="502" spans="1:5">
      <c r="A502" t="s">
        <v>1177</v>
      </c>
      <c r="B502" s="221">
        <v>1</v>
      </c>
      <c r="C502" s="221"/>
      <c r="D502" s="221"/>
      <c r="E502" s="221"/>
    </row>
    <row r="503" spans="1:5">
      <c r="A503" t="s">
        <v>1178</v>
      </c>
      <c r="B503" s="221">
        <v>1</v>
      </c>
      <c r="C503" s="221"/>
      <c r="D503" s="221"/>
      <c r="E503" s="221"/>
    </row>
    <row r="504" spans="1:5">
      <c r="A504" t="s">
        <v>1179</v>
      </c>
      <c r="B504" s="221">
        <v>1</v>
      </c>
      <c r="C504" s="221"/>
      <c r="D504" s="221"/>
      <c r="E504" s="221"/>
    </row>
    <row r="505" spans="1:5">
      <c r="A505" t="s">
        <v>1180</v>
      </c>
      <c r="B505" s="221">
        <v>1</v>
      </c>
      <c r="C505" s="221"/>
      <c r="D505" s="221"/>
      <c r="E505" s="221"/>
    </row>
    <row r="506" spans="1:5">
      <c r="A506" t="s">
        <v>1181</v>
      </c>
      <c r="B506" s="221">
        <v>1</v>
      </c>
      <c r="C506" s="221"/>
      <c r="D506" s="221"/>
      <c r="E506" s="221"/>
    </row>
    <row r="507" spans="1:5">
      <c r="A507" t="s">
        <v>1182</v>
      </c>
      <c r="B507" s="221">
        <v>1</v>
      </c>
      <c r="C507" s="221"/>
      <c r="D507" s="221"/>
      <c r="E507" s="221"/>
    </row>
    <row r="508" spans="1:5">
      <c r="A508" t="s">
        <v>1183</v>
      </c>
      <c r="B508" s="221">
        <v>1</v>
      </c>
      <c r="C508" s="221"/>
      <c r="D508" s="221"/>
      <c r="E508" s="221"/>
    </row>
    <row r="509" spans="1:5">
      <c r="A509" t="s">
        <v>1184</v>
      </c>
      <c r="B509" s="221">
        <v>1</v>
      </c>
      <c r="C509" s="221"/>
      <c r="D509" s="221"/>
      <c r="E509" s="221"/>
    </row>
    <row r="510" spans="1:5">
      <c r="A510" t="s">
        <v>1185</v>
      </c>
      <c r="B510" s="221">
        <v>1</v>
      </c>
      <c r="C510" s="221"/>
      <c r="D510" s="221"/>
      <c r="E510" s="221"/>
    </row>
    <row r="511" spans="1:5">
      <c r="A511" t="s">
        <v>1186</v>
      </c>
      <c r="B511" s="221">
        <v>1</v>
      </c>
      <c r="C511" s="221"/>
      <c r="D511" s="221"/>
      <c r="E511" s="221"/>
    </row>
    <row r="512" spans="1:5">
      <c r="A512" t="s">
        <v>1187</v>
      </c>
      <c r="B512" s="221">
        <v>1</v>
      </c>
      <c r="C512" s="221"/>
      <c r="D512" s="221"/>
      <c r="E512" s="221"/>
    </row>
    <row r="513" spans="1:5">
      <c r="A513" t="s">
        <v>1188</v>
      </c>
      <c r="B513" s="221">
        <v>1</v>
      </c>
      <c r="C513" s="221"/>
      <c r="D513" s="221"/>
      <c r="E513" s="221"/>
    </row>
    <row r="514" spans="1:5">
      <c r="A514" t="s">
        <v>1189</v>
      </c>
      <c r="B514" s="221">
        <v>1</v>
      </c>
      <c r="C514" s="221"/>
      <c r="D514" s="221"/>
      <c r="E514" s="221"/>
    </row>
    <row r="515" spans="1:5">
      <c r="A515" t="s">
        <v>1190</v>
      </c>
      <c r="B515" s="221">
        <v>1</v>
      </c>
      <c r="C515" s="221"/>
      <c r="D515" s="221"/>
      <c r="E515" s="221"/>
    </row>
    <row r="516" spans="1:5">
      <c r="A516" t="s">
        <v>1191</v>
      </c>
      <c r="B516" s="221">
        <v>0</v>
      </c>
      <c r="C516" s="221"/>
      <c r="D516" s="221"/>
      <c r="E516" s="221"/>
    </row>
    <row r="517" spans="1:5">
      <c r="A517" t="s">
        <v>1192</v>
      </c>
      <c r="B517" s="221">
        <v>1</v>
      </c>
      <c r="C517" s="221"/>
      <c r="D517" s="221"/>
      <c r="E517" s="221"/>
    </row>
    <row r="518" spans="1:5">
      <c r="A518" t="s">
        <v>1193</v>
      </c>
      <c r="B518" s="221">
        <v>1</v>
      </c>
      <c r="C518" s="221"/>
      <c r="D518" s="221"/>
      <c r="E518" s="221"/>
    </row>
    <row r="519" spans="1:5">
      <c r="A519" t="s">
        <v>1194</v>
      </c>
      <c r="B519" s="221">
        <v>1</v>
      </c>
      <c r="C519" s="175">
        <v>45491</v>
      </c>
      <c r="D519" s="175">
        <v>45495</v>
      </c>
      <c r="E519" s="175">
        <v>45495</v>
      </c>
    </row>
    <row r="520" spans="1:5">
      <c r="A520" t="s">
        <v>1195</v>
      </c>
      <c r="B520" s="221">
        <v>1</v>
      </c>
      <c r="C520" s="221"/>
      <c r="D520" s="221"/>
      <c r="E520" s="221"/>
    </row>
    <row r="521" spans="1:5">
      <c r="A521" t="s">
        <v>1196</v>
      </c>
      <c r="B521" s="221">
        <v>1</v>
      </c>
      <c r="C521" s="221"/>
      <c r="D521" s="221"/>
      <c r="E521" s="221"/>
    </row>
    <row r="522" spans="1:5">
      <c r="A522" t="s">
        <v>1197</v>
      </c>
      <c r="B522" s="221">
        <v>1</v>
      </c>
      <c r="C522" s="175">
        <v>45491</v>
      </c>
      <c r="D522" s="175">
        <v>45495</v>
      </c>
      <c r="E522" s="175">
        <v>45495</v>
      </c>
    </row>
    <row r="523" spans="1:5">
      <c r="A523" t="s">
        <v>1198</v>
      </c>
      <c r="B523" s="221">
        <v>1</v>
      </c>
      <c r="C523" s="221"/>
      <c r="D523" s="221"/>
      <c r="E523" s="221"/>
    </row>
    <row r="524" spans="1:5">
      <c r="A524" t="s">
        <v>1199</v>
      </c>
      <c r="B524" s="221">
        <v>1</v>
      </c>
      <c r="C524" s="221"/>
      <c r="D524" s="221"/>
      <c r="E524" s="221"/>
    </row>
    <row r="525" spans="1:5">
      <c r="A525" t="s">
        <v>1200</v>
      </c>
      <c r="B525" s="221">
        <v>1</v>
      </c>
      <c r="C525" s="221"/>
      <c r="D525" s="221"/>
      <c r="E525" s="221"/>
    </row>
    <row r="526" spans="1:5">
      <c r="A526" t="s">
        <v>1201</v>
      </c>
      <c r="B526" s="221">
        <v>1</v>
      </c>
      <c r="C526" s="221"/>
      <c r="D526" s="221"/>
      <c r="E526" s="221"/>
    </row>
    <row r="527" spans="1:5">
      <c r="A527" t="s">
        <v>1202</v>
      </c>
      <c r="B527" s="221">
        <v>1</v>
      </c>
      <c r="C527" s="221"/>
      <c r="D527" s="221"/>
      <c r="E527" s="221"/>
    </row>
    <row r="528" spans="1:5">
      <c r="A528" t="s">
        <v>1203</v>
      </c>
      <c r="B528" s="221">
        <v>1</v>
      </c>
      <c r="C528" s="221"/>
      <c r="D528" s="221"/>
      <c r="E528" s="221"/>
    </row>
    <row r="529" spans="1:5">
      <c r="A529" t="s">
        <v>1204</v>
      </c>
      <c r="B529" s="221">
        <v>1</v>
      </c>
      <c r="C529" s="221"/>
      <c r="D529" s="221"/>
      <c r="E529" s="221"/>
    </row>
    <row r="530" spans="1:5">
      <c r="A530" t="s">
        <v>1205</v>
      </c>
      <c r="B530" s="221">
        <v>1</v>
      </c>
      <c r="C530" s="221"/>
      <c r="D530" s="221"/>
      <c r="E530" s="221"/>
    </row>
    <row r="531" spans="1:5">
      <c r="A531" t="s">
        <v>1206</v>
      </c>
      <c r="B531" s="221">
        <v>1</v>
      </c>
      <c r="C531" s="221"/>
      <c r="D531" s="221"/>
      <c r="E531" s="221"/>
    </row>
    <row r="532" spans="1:5">
      <c r="A532" t="s">
        <v>1207</v>
      </c>
      <c r="B532" s="221">
        <v>0</v>
      </c>
      <c r="C532" s="221"/>
      <c r="D532" s="221"/>
      <c r="E532" s="221"/>
    </row>
    <row r="533" spans="1:5">
      <c r="A533" t="s">
        <v>1208</v>
      </c>
      <c r="B533" s="221">
        <v>1</v>
      </c>
      <c r="C533" s="221"/>
      <c r="D533" s="221"/>
      <c r="E533" s="221"/>
    </row>
    <row r="534" spans="1:5">
      <c r="A534" t="s">
        <v>1209</v>
      </c>
      <c r="B534" s="221">
        <v>1</v>
      </c>
      <c r="C534" s="221"/>
      <c r="D534" s="221"/>
      <c r="E534" s="221"/>
    </row>
    <row r="535" spans="1:5">
      <c r="A535" t="s">
        <v>1210</v>
      </c>
      <c r="B535" s="221">
        <v>1</v>
      </c>
      <c r="C535" s="221"/>
      <c r="D535" s="221"/>
      <c r="E535" s="221"/>
    </row>
    <row r="536" spans="1:5">
      <c r="A536" t="s">
        <v>1211</v>
      </c>
      <c r="B536" s="221">
        <v>1</v>
      </c>
      <c r="C536" s="221"/>
      <c r="D536" s="221"/>
      <c r="E536" s="221"/>
    </row>
    <row r="537" spans="1:5">
      <c r="A537" t="s">
        <v>1212</v>
      </c>
      <c r="B537" s="221">
        <v>1</v>
      </c>
      <c r="C537" s="221"/>
      <c r="D537" s="221"/>
      <c r="E537" s="221"/>
    </row>
    <row r="538" spans="1:5">
      <c r="A538" t="s">
        <v>1213</v>
      </c>
      <c r="B538" s="221">
        <v>1</v>
      </c>
      <c r="C538" s="221"/>
      <c r="D538" s="221"/>
      <c r="E538" s="221"/>
    </row>
    <row r="539" spans="1:5">
      <c r="A539" t="s">
        <v>1214</v>
      </c>
      <c r="B539" s="221">
        <v>1</v>
      </c>
      <c r="C539" s="221"/>
      <c r="D539" s="221"/>
      <c r="E539" s="221"/>
    </row>
    <row r="540" spans="1:5">
      <c r="A540" t="s">
        <v>1215</v>
      </c>
      <c r="B540" s="221">
        <v>1</v>
      </c>
      <c r="C540" s="221"/>
      <c r="D540" s="221"/>
      <c r="E540" s="221"/>
    </row>
    <row r="541" spans="1:5">
      <c r="A541" t="s">
        <v>1216</v>
      </c>
      <c r="B541" s="221">
        <v>1</v>
      </c>
      <c r="C541" s="221"/>
      <c r="D541" s="221"/>
      <c r="E541" s="221"/>
    </row>
    <row r="542" spans="1:5">
      <c r="A542" t="s">
        <v>1217</v>
      </c>
      <c r="B542" s="221">
        <v>1</v>
      </c>
      <c r="C542" s="221"/>
      <c r="D542" s="221"/>
      <c r="E542" s="221"/>
    </row>
    <row r="543" spans="1:5">
      <c r="A543" t="s">
        <v>1218</v>
      </c>
      <c r="B543" s="221">
        <v>1</v>
      </c>
      <c r="C543" s="221"/>
      <c r="D543" s="221"/>
      <c r="E543" s="221"/>
    </row>
    <row r="544" spans="1:5">
      <c r="A544" t="s">
        <v>1219</v>
      </c>
      <c r="B544" s="221">
        <v>1</v>
      </c>
      <c r="C544" s="221"/>
      <c r="D544" s="221"/>
      <c r="E544" s="221"/>
    </row>
    <row r="545" spans="1:5">
      <c r="A545" t="s">
        <v>1220</v>
      </c>
      <c r="B545" s="221">
        <v>1</v>
      </c>
      <c r="C545" s="221"/>
      <c r="D545" s="221"/>
      <c r="E545" s="221"/>
    </row>
    <row r="546" spans="1:5">
      <c r="A546" t="s">
        <v>1221</v>
      </c>
      <c r="B546" s="221">
        <v>1</v>
      </c>
      <c r="C546" s="221"/>
      <c r="D546" s="221"/>
      <c r="E546" s="221"/>
    </row>
    <row r="547" spans="1:5">
      <c r="A547" t="s">
        <v>1222</v>
      </c>
      <c r="B547" s="221">
        <v>0</v>
      </c>
      <c r="C547" s="221"/>
      <c r="D547" s="221"/>
      <c r="E547" s="221"/>
    </row>
    <row r="548" spans="1:5">
      <c r="A548" t="s">
        <v>1223</v>
      </c>
      <c r="B548" s="221">
        <v>1</v>
      </c>
      <c r="C548" s="221"/>
      <c r="D548" s="221"/>
      <c r="E548" s="221"/>
    </row>
    <row r="549" spans="1:5">
      <c r="A549" t="s">
        <v>1224</v>
      </c>
      <c r="B549" s="221">
        <v>1</v>
      </c>
      <c r="C549" s="221"/>
      <c r="D549" s="221"/>
      <c r="E549" s="221"/>
    </row>
    <row r="550" spans="1:5">
      <c r="A550" t="s">
        <v>1225</v>
      </c>
      <c r="B550" s="221">
        <v>1</v>
      </c>
      <c r="C550" s="221"/>
      <c r="D550" s="221"/>
      <c r="E550" s="221"/>
    </row>
    <row r="551" spans="1:5">
      <c r="A551" t="s">
        <v>1226</v>
      </c>
      <c r="B551" s="221">
        <v>0</v>
      </c>
      <c r="C551" s="221"/>
      <c r="D551" s="221"/>
      <c r="E551" s="221"/>
    </row>
    <row r="552" spans="1:5">
      <c r="A552" t="s">
        <v>1227</v>
      </c>
      <c r="B552" s="221">
        <v>1</v>
      </c>
      <c r="C552" s="221"/>
      <c r="D552" s="221"/>
      <c r="E552" s="221"/>
    </row>
    <row r="553" spans="1:5">
      <c r="A553" t="s">
        <v>1228</v>
      </c>
      <c r="B553" s="221">
        <v>1</v>
      </c>
      <c r="C553" s="221"/>
      <c r="D553" s="221"/>
      <c r="E553" s="221"/>
    </row>
    <row r="554" spans="1:5">
      <c r="A554" t="s">
        <v>1229</v>
      </c>
      <c r="B554" s="221">
        <v>0</v>
      </c>
      <c r="C554" s="221"/>
      <c r="D554" s="221"/>
      <c r="E554" s="221"/>
    </row>
    <row r="555" spans="1:5">
      <c r="A555" t="s">
        <v>1230</v>
      </c>
      <c r="B555" s="221">
        <v>1</v>
      </c>
      <c r="C555" s="221"/>
      <c r="D555" s="221"/>
      <c r="E555" s="221"/>
    </row>
    <row r="556" spans="1:5">
      <c r="A556" t="s">
        <v>1231</v>
      </c>
      <c r="B556" s="221">
        <v>1</v>
      </c>
      <c r="C556" s="221"/>
      <c r="D556" s="221"/>
      <c r="E556" s="221"/>
    </row>
    <row r="557" spans="1:5">
      <c r="A557" t="s">
        <v>1232</v>
      </c>
      <c r="B557" s="221">
        <v>1</v>
      </c>
      <c r="C557" s="221"/>
      <c r="D557" s="221"/>
      <c r="E557" s="221"/>
    </row>
    <row r="558" spans="1:5">
      <c r="A558" t="s">
        <v>1233</v>
      </c>
      <c r="B558" s="221">
        <v>1</v>
      </c>
      <c r="C558" s="221"/>
      <c r="D558" s="221"/>
      <c r="E558" s="221"/>
    </row>
    <row r="559" spans="1:5">
      <c r="A559" t="s">
        <v>1234</v>
      </c>
      <c r="B559" s="221">
        <v>1</v>
      </c>
      <c r="C559" s="221"/>
      <c r="D559" s="221"/>
      <c r="E559" s="221"/>
    </row>
    <row r="560" spans="1:5">
      <c r="A560" t="s">
        <v>1235</v>
      </c>
      <c r="B560" s="221">
        <v>1</v>
      </c>
      <c r="C560" s="221"/>
      <c r="D560" s="221"/>
      <c r="E560" s="221"/>
    </row>
    <row r="561" spans="1:5">
      <c r="A561" t="s">
        <v>1236</v>
      </c>
      <c r="B561" s="221">
        <v>1</v>
      </c>
      <c r="C561" s="221"/>
      <c r="D561" s="221"/>
      <c r="E561" s="221"/>
    </row>
    <row r="562" spans="1:5">
      <c r="A562" t="s">
        <v>1237</v>
      </c>
      <c r="B562" s="221">
        <v>1</v>
      </c>
      <c r="C562" s="221"/>
      <c r="D562" s="221"/>
      <c r="E562" s="221"/>
    </row>
    <row r="563" spans="1:5">
      <c r="A563" t="s">
        <v>1238</v>
      </c>
      <c r="B563" s="221">
        <v>1</v>
      </c>
      <c r="C563" s="221"/>
      <c r="D563" s="221"/>
      <c r="E563" s="221"/>
    </row>
    <row r="564" spans="1:5">
      <c r="A564" t="s">
        <v>1239</v>
      </c>
      <c r="B564" s="221">
        <v>1</v>
      </c>
      <c r="C564" s="221"/>
      <c r="D564" s="221"/>
      <c r="E564" s="221"/>
    </row>
    <row r="565" spans="1:5">
      <c r="A565" t="s">
        <v>1240</v>
      </c>
      <c r="B565" s="221">
        <v>1</v>
      </c>
      <c r="C565" s="221"/>
      <c r="D565" s="221"/>
      <c r="E565" s="221"/>
    </row>
    <row r="566" spans="1:5">
      <c r="A566" t="s">
        <v>1241</v>
      </c>
      <c r="B566" s="221">
        <v>7</v>
      </c>
      <c r="C566" s="175">
        <v>45593</v>
      </c>
      <c r="D566" s="175">
        <v>45624</v>
      </c>
      <c r="E566" s="175">
        <v>45589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4.8984375" customWidth="1"/>
    <col min="6" max="6" width="37.19921875" customWidth="1"/>
    <col min="7"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619</v>
      </c>
      <c r="F10" t="s">
        <v>1241</v>
      </c>
    </row>
    <row r="11" spans="2:12">
      <c r="B11" s="51" t="s">
        <v>74</v>
      </c>
      <c r="C11" s="221">
        <v>3</v>
      </c>
      <c r="D11" s="221">
        <v>17</v>
      </c>
      <c r="E11" s="221"/>
      <c r="F11" s="221">
        <v>20</v>
      </c>
    </row>
    <row r="12" spans="2:12">
      <c r="B12" s="51" t="s">
        <v>123</v>
      </c>
      <c r="C12" s="221"/>
      <c r="D12" s="221">
        <v>50</v>
      </c>
      <c r="E12" s="221">
        <v>22</v>
      </c>
      <c r="F12" s="221">
        <v>72</v>
      </c>
    </row>
    <row r="13" spans="2:12">
      <c r="B13" s="51" t="s">
        <v>94</v>
      </c>
      <c r="C13" s="221">
        <v>2</v>
      </c>
      <c r="D13" s="221">
        <v>30</v>
      </c>
      <c r="E13" s="221"/>
      <c r="F13" s="221">
        <v>32</v>
      </c>
    </row>
    <row r="14" spans="2:12">
      <c r="B14" s="51" t="s">
        <v>88</v>
      </c>
      <c r="C14" s="221">
        <v>1</v>
      </c>
      <c r="D14" s="221">
        <v>14</v>
      </c>
      <c r="E14" s="221"/>
      <c r="F14" s="221">
        <v>15</v>
      </c>
    </row>
    <row r="15" spans="2:12">
      <c r="B15" s="51" t="s">
        <v>55</v>
      </c>
      <c r="C15" s="221">
        <v>4</v>
      </c>
      <c r="D15" s="221">
        <v>13</v>
      </c>
      <c r="E15" s="221"/>
      <c r="F15" s="221">
        <v>17</v>
      </c>
    </row>
    <row r="16" spans="2:12">
      <c r="B16" s="51" t="s">
        <v>37</v>
      </c>
      <c r="C16" s="221"/>
      <c r="D16" s="221"/>
      <c r="E16" s="221">
        <v>12</v>
      </c>
      <c r="F16" s="221">
        <v>12</v>
      </c>
    </row>
    <row r="17" spans="2:6">
      <c r="B17" s="51" t="s">
        <v>1241</v>
      </c>
      <c r="C17" s="221">
        <v>10</v>
      </c>
      <c r="D17" s="221">
        <v>124</v>
      </c>
      <c r="E17" s="221">
        <v>34</v>
      </c>
      <c r="F17" s="221">
        <v>168</v>
      </c>
    </row>
    <row r="23" spans="2:6">
      <c r="B23" s="50" t="s">
        <v>8</v>
      </c>
      <c r="C23" t="s" vm="1">
        <v>26</v>
      </c>
    </row>
    <row r="24" spans="2:6">
      <c r="B24" s="50" t="s">
        <v>9</v>
      </c>
      <c r="C24" t="s" vm="2">
        <v>1243</v>
      </c>
    </row>
    <row r="25" spans="2:6">
      <c r="B25" s="50" t="s">
        <v>10</v>
      </c>
      <c r="C25" t="s" vm="3">
        <v>40</v>
      </c>
    </row>
    <row r="27" spans="2:6">
      <c r="B27" s="50" t="s">
        <v>1246</v>
      </c>
      <c r="C27" t="s">
        <v>1244</v>
      </c>
    </row>
    <row r="28" spans="2:6">
      <c r="B28" s="51" t="s">
        <v>613</v>
      </c>
      <c r="C28" s="221">
        <v>10</v>
      </c>
    </row>
    <row r="29" spans="2:6">
      <c r="B29" s="51" t="s">
        <v>614</v>
      </c>
      <c r="C29" s="221">
        <v>124</v>
      </c>
    </row>
    <row r="30" spans="2:6">
      <c r="B30" s="51" t="s">
        <v>619</v>
      </c>
      <c r="C30" s="221">
        <v>34</v>
      </c>
    </row>
    <row r="31" spans="2:6">
      <c r="B31" s="51" t="s">
        <v>1241</v>
      </c>
      <c r="C31" s="221">
        <v>168</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1948</v>
      </c>
      <c r="E95" t="s">
        <v>615</v>
      </c>
      <c r="F95" t="s">
        <v>616</v>
      </c>
      <c r="G95" t="s">
        <v>619</v>
      </c>
      <c r="H95" t="s">
        <v>1241</v>
      </c>
    </row>
    <row r="96" spans="2:16">
      <c r="B96" s="51" t="s">
        <v>380</v>
      </c>
      <c r="C96" s="221">
        <v>21</v>
      </c>
      <c r="D96" s="221">
        <v>5</v>
      </c>
      <c r="E96" s="221"/>
      <c r="F96" s="221"/>
      <c r="G96" s="221">
        <v>8</v>
      </c>
      <c r="H96" s="221">
        <v>34</v>
      </c>
    </row>
    <row r="97" spans="2:8">
      <c r="B97" s="51" t="s">
        <v>336</v>
      </c>
      <c r="C97" s="221">
        <v>11</v>
      </c>
      <c r="D97" s="221"/>
      <c r="E97" s="221">
        <v>18</v>
      </c>
      <c r="F97" s="221"/>
      <c r="G97" s="221">
        <v>14</v>
      </c>
      <c r="H97" s="221">
        <v>43</v>
      </c>
    </row>
    <row r="98" spans="2:8">
      <c r="B98" s="51" t="s">
        <v>369</v>
      </c>
      <c r="C98" s="221">
        <v>2</v>
      </c>
      <c r="D98" s="221">
        <v>1</v>
      </c>
      <c r="E98" s="221"/>
      <c r="F98" s="221">
        <v>1</v>
      </c>
      <c r="G98" s="221">
        <v>20</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10</v>
      </c>
      <c r="H101" s="221">
        <v>10</v>
      </c>
    </row>
    <row r="102" spans="2:8">
      <c r="B102" s="51" t="s">
        <v>393</v>
      </c>
      <c r="C102" s="221">
        <v>9</v>
      </c>
      <c r="D102" s="221"/>
      <c r="E102" s="221"/>
      <c r="F102" s="221"/>
      <c r="G102" s="221"/>
      <c r="H102" s="221">
        <v>9</v>
      </c>
    </row>
    <row r="103" spans="2:8">
      <c r="B103" s="51" t="s">
        <v>1241</v>
      </c>
      <c r="C103" s="221">
        <v>53</v>
      </c>
      <c r="D103" s="221">
        <v>6</v>
      </c>
      <c r="E103" s="221">
        <v>18</v>
      </c>
      <c r="F103" s="221">
        <v>1</v>
      </c>
      <c r="G103" s="221">
        <v>52</v>
      </c>
      <c r="H103" s="221">
        <v>130</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52</v>
      </c>
    </row>
    <row r="119" spans="2:3">
      <c r="B119" s="51" t="s">
        <v>615</v>
      </c>
      <c r="C119" s="221">
        <v>18</v>
      </c>
    </row>
    <row r="120" spans="2:3">
      <c r="B120" s="51" t="s">
        <v>1948</v>
      </c>
      <c r="C120" s="221">
        <v>6</v>
      </c>
    </row>
    <row r="121" spans="2:3">
      <c r="B121" s="51" t="s">
        <v>1241</v>
      </c>
      <c r="C121" s="221">
        <v>130</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02"/>
  <sheetViews>
    <sheetView showGridLines="0" zoomScale="72" zoomScaleNormal="60" workbookViewId="0">
      <selection activeCell="G1279" sqref="G127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hidden="1" customHeight="1">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7" hidden="1" customHeight="1">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7" hidden="1"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7"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7" hidden="1" customHeight="1">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125</v>
      </c>
      <c r="H140" s="57" t="str">
        <f>Table1[[#This Row],[Tabela]]&amp;Table1[[#This Row],[Campo]]</f>
        <v>PROPERTY_ENERGY_CERTIFICATELAND_REGISTRY_OFFICE_CODE</v>
      </c>
      <c r="I140" s="2" t="s">
        <v>619</v>
      </c>
      <c r="J140" s="43">
        <f>VLOOKUP(Table1[[#This Row],[Status]],Auxiliar!$B$16:$C$24,2,0)</f>
        <v>7</v>
      </c>
      <c r="K140" s="2" t="s">
        <v>1266</v>
      </c>
      <c r="L140" s="29" t="s">
        <v>1264</v>
      </c>
      <c r="M140" s="21" t="s">
        <v>1273</v>
      </c>
      <c r="N140" s="48">
        <v>45485</v>
      </c>
      <c r="O140" s="21">
        <f>INDEX(Auxiliar!$D$5:$F$13,MATCH(Table1[[#This Row],[Tipologia_Testes]],Auxiliar!$B$5:$B$13,0),MATCH(Table1[[#This Row],[Complexidade]],Auxiliar!$D$4:$F$4,0))</f>
        <v>2</v>
      </c>
      <c r="P140" s="2" t="s">
        <v>1290</v>
      </c>
      <c r="Q140" s="2"/>
      <c r="R140" s="152">
        <v>45261</v>
      </c>
      <c r="S140" s="152"/>
      <c r="T140" s="152">
        <v>45562</v>
      </c>
      <c r="U140" s="152">
        <v>45607</v>
      </c>
      <c r="V140" s="152"/>
      <c r="W140" s="2">
        <f>VLOOKUP(Table1[[#This Row],[Status]],Auxiliar!$B$16:$D$24,3,0)*Table1[[#This Row],[Estimação (horas)]]</f>
        <v>0.5</v>
      </c>
      <c r="X140" s="2"/>
    </row>
    <row r="141" spans="2:24" ht="17.7" hidden="1" customHeight="1">
      <c r="B141" s="2" t="s">
        <v>26</v>
      </c>
      <c r="C141" s="2" t="s">
        <v>54</v>
      </c>
      <c r="D141" s="2" t="s">
        <v>124</v>
      </c>
      <c r="E141" s="2" t="s">
        <v>38</v>
      </c>
      <c r="F141" s="2" t="s">
        <v>123</v>
      </c>
      <c r="G141" s="2" t="s">
        <v>125</v>
      </c>
      <c r="H141" s="57" t="str">
        <f>Table1[[#This Row],[Tabela]]&amp;Table1[[#This Row],[Campo]]</f>
        <v>PROPERTY_ENERGY_CERTIFICATELAND_REGISTRY_OFFICE_CODE</v>
      </c>
      <c r="I141" s="2" t="s">
        <v>619</v>
      </c>
      <c r="J141" s="43">
        <f>VLOOKUP(Table1[[#This Row],[Status]],Auxiliar!$B$16:$C$24,2,0)</f>
        <v>7</v>
      </c>
      <c r="K141" s="2" t="s">
        <v>1267</v>
      </c>
      <c r="L141" s="29" t="s">
        <v>1264</v>
      </c>
      <c r="M141" s="21" t="s">
        <v>1273</v>
      </c>
      <c r="N141" s="48">
        <v>45485</v>
      </c>
      <c r="O141" s="21">
        <f>INDEX(Auxiliar!$D$5:$F$13,MATCH(Table1[[#This Row],[Tipologia_Testes]],Auxiliar!$B$5:$B$13,0),MATCH(Table1[[#This Row],[Complexidade]],Auxiliar!$D$4:$F$4,0))</f>
        <v>2</v>
      </c>
      <c r="P141" s="2" t="s">
        <v>1290</v>
      </c>
      <c r="Q141" s="2"/>
      <c r="R141" s="152">
        <v>45261</v>
      </c>
      <c r="S141" s="152"/>
      <c r="T141" s="152">
        <v>45562</v>
      </c>
      <c r="U141" s="152">
        <v>45607</v>
      </c>
      <c r="V141" s="152"/>
      <c r="W141" s="2">
        <f>VLOOKUP(Table1[[#This Row],[Status]],Auxiliar!$B$16:$D$24,3,0)*Table1[[#This Row],[Estimação (horas)]]</f>
        <v>0.5</v>
      </c>
      <c r="X141" s="2"/>
    </row>
    <row r="142" spans="2:24" ht="17.7"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619</v>
      </c>
      <c r="J142" s="43">
        <f>VLOOKUP(Table1[[#This Row],[Status]],Auxiliar!$B$16:$C$24,2,0)</f>
        <v>7</v>
      </c>
      <c r="K142" s="2" t="s">
        <v>1269</v>
      </c>
      <c r="L142" s="29" t="s">
        <v>1264</v>
      </c>
      <c r="M142" s="21" t="s">
        <v>1273</v>
      </c>
      <c r="N142" s="48">
        <v>45485</v>
      </c>
      <c r="O142" s="21">
        <f>INDEX(Auxiliar!$D$5:$F$13,MATCH(Table1[[#This Row],[Tipologia_Testes]],Auxiliar!$B$5:$B$13,0),MATCH(Table1[[#This Row],[Complexidade]],Auxiliar!$D$4:$F$4,0))</f>
        <v>0.1</v>
      </c>
      <c r="P142" s="2" t="s">
        <v>1290</v>
      </c>
      <c r="Q142" s="2"/>
      <c r="R142" s="152">
        <v>45261</v>
      </c>
      <c r="S142" s="152"/>
      <c r="T142" s="152">
        <v>45562</v>
      </c>
      <c r="U142" s="152">
        <v>45607</v>
      </c>
      <c r="V142" s="152"/>
      <c r="W142" s="2">
        <f>VLOOKUP(Table1[[#This Row],[Status]],Auxiliar!$B$16:$D$24,3,0)*Table1[[#This Row],[Estimação (horas)]]</f>
        <v>2.5000000000000001E-2</v>
      </c>
      <c r="X142" s="2"/>
    </row>
    <row r="143" spans="2:24" ht="17.7" hidden="1" customHeight="1">
      <c r="B143" s="2" t="s">
        <v>26</v>
      </c>
      <c r="C143" s="2" t="s">
        <v>54</v>
      </c>
      <c r="D143" s="2" t="s">
        <v>124</v>
      </c>
      <c r="E143" s="2" t="s">
        <v>38</v>
      </c>
      <c r="F143" s="2" t="s">
        <v>123</v>
      </c>
      <c r="G143" s="2" t="s">
        <v>126</v>
      </c>
      <c r="H143" s="57" t="str">
        <f>Table1[[#This Row],[Tabela]]&amp;Table1[[#This Row],[Campo]]</f>
        <v>PROPERTY_ENERGY_CERTIFICATEPROPERTY_IDENTIFICATION_CODE</v>
      </c>
      <c r="I143" s="2" t="s">
        <v>619</v>
      </c>
      <c r="J143" s="43">
        <f>VLOOKUP(Table1[[#This Row],[Status]],Auxiliar!$B$16:$C$24,2,0)</f>
        <v>7</v>
      </c>
      <c r="K143" s="2" t="s">
        <v>1266</v>
      </c>
      <c r="L143" s="29" t="s">
        <v>1264</v>
      </c>
      <c r="M143" s="21" t="s">
        <v>1273</v>
      </c>
      <c r="N143" s="48">
        <v>45485</v>
      </c>
      <c r="O143" s="21">
        <f>INDEX(Auxiliar!$D$5:$F$13,MATCH(Table1[[#This Row],[Tipologia_Testes]],Auxiliar!$B$5:$B$13,0),MATCH(Table1[[#This Row],[Complexidade]],Auxiliar!$D$4:$F$4,0))</f>
        <v>2</v>
      </c>
      <c r="P143" s="2" t="s">
        <v>1290</v>
      </c>
      <c r="Q143" s="2"/>
      <c r="R143" s="152">
        <v>45261</v>
      </c>
      <c r="S143" s="152"/>
      <c r="T143" s="152">
        <v>45562</v>
      </c>
      <c r="U143" s="152">
        <v>45607</v>
      </c>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619</v>
      </c>
      <c r="J144" s="43">
        <f>VLOOKUP(Table1[[#This Row],[Status]],Auxiliar!$B$16:$C$24,2,0)</f>
        <v>7</v>
      </c>
      <c r="K144" s="2" t="s">
        <v>1267</v>
      </c>
      <c r="L144" s="29" t="s">
        <v>1264</v>
      </c>
      <c r="M144" s="21" t="s">
        <v>1273</v>
      </c>
      <c r="N144" s="48">
        <v>45485</v>
      </c>
      <c r="O144" s="21">
        <f>INDEX(Auxiliar!$D$5:$F$13,MATCH(Table1[[#This Row],[Tipologia_Testes]],Auxiliar!$B$5:$B$13,0),MATCH(Table1[[#This Row],[Complexidade]],Auxiliar!$D$4:$F$4,0))</f>
        <v>2</v>
      </c>
      <c r="P144" s="2" t="s">
        <v>1290</v>
      </c>
      <c r="Q144" s="2"/>
      <c r="R144" s="152">
        <v>45261</v>
      </c>
      <c r="S144" s="152"/>
      <c r="T144" s="152">
        <v>45562</v>
      </c>
      <c r="U144" s="152">
        <v>45607</v>
      </c>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619</v>
      </c>
      <c r="J145" s="43">
        <f>VLOOKUP(Table1[[#This Row],[Status]],Auxiliar!$B$16:$C$24,2,0)</f>
        <v>7</v>
      </c>
      <c r="K145" s="2" t="s">
        <v>1269</v>
      </c>
      <c r="L145" s="29" t="s">
        <v>1264</v>
      </c>
      <c r="M145" s="21" t="s">
        <v>1273</v>
      </c>
      <c r="N145" s="48">
        <v>45485</v>
      </c>
      <c r="O145" s="21">
        <f>INDEX(Auxiliar!$D$5:$F$13,MATCH(Table1[[#This Row],[Tipologia_Testes]],Auxiliar!$B$5:$B$13,0),MATCH(Table1[[#This Row],[Complexidade]],Auxiliar!$D$4:$F$4,0))</f>
        <v>0.1</v>
      </c>
      <c r="P145" s="2" t="s">
        <v>1290</v>
      </c>
      <c r="Q145" s="2"/>
      <c r="R145" s="152">
        <v>45261</v>
      </c>
      <c r="S145" s="152"/>
      <c r="T145" s="152">
        <v>45562</v>
      </c>
      <c r="U145" s="152">
        <v>45607</v>
      </c>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127</v>
      </c>
      <c r="H146" s="57" t="str">
        <f>Table1[[#This Row],[Tabela]]&amp;Table1[[#This Row],[Campo]]</f>
        <v>PROPERTY_ENERGY_CERTIFICATEENERGY_CERTIFICATION_SYSTEM_CODE</v>
      </c>
      <c r="I146" s="2" t="s">
        <v>619</v>
      </c>
      <c r="J146" s="43">
        <f>VLOOKUP(Table1[[#This Row],[Status]],Auxiliar!$B$16:$C$24,2,0)</f>
        <v>7</v>
      </c>
      <c r="K146" s="2" t="s">
        <v>1266</v>
      </c>
      <c r="L146" s="29" t="s">
        <v>1264</v>
      </c>
      <c r="M146" s="21" t="s">
        <v>1273</v>
      </c>
      <c r="N146" s="48">
        <v>45485</v>
      </c>
      <c r="O146" s="21">
        <f>INDEX(Auxiliar!$D$5:$F$13,MATCH(Table1[[#This Row],[Tipologia_Testes]],Auxiliar!$B$5:$B$13,0),MATCH(Table1[[#This Row],[Complexidade]],Auxiliar!$D$4:$F$4,0))</f>
        <v>2</v>
      </c>
      <c r="P146" s="2" t="s">
        <v>1290</v>
      </c>
      <c r="Q146" s="2"/>
      <c r="R146" s="152">
        <v>45261</v>
      </c>
      <c r="S146" s="152"/>
      <c r="T146" s="152">
        <v>45562</v>
      </c>
      <c r="U146" s="152">
        <v>45607</v>
      </c>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619</v>
      </c>
      <c r="J147" s="43">
        <f>VLOOKUP(Table1[[#This Row],[Status]],Auxiliar!$B$16:$C$24,2,0)</f>
        <v>7</v>
      </c>
      <c r="K147" s="2" t="s">
        <v>1267</v>
      </c>
      <c r="L147" s="29" t="s">
        <v>1264</v>
      </c>
      <c r="M147" s="21" t="s">
        <v>1273</v>
      </c>
      <c r="N147" s="48">
        <v>45485</v>
      </c>
      <c r="O147" s="21">
        <f>INDEX(Auxiliar!$D$5:$F$13,MATCH(Table1[[#This Row],[Tipologia_Testes]],Auxiliar!$B$5:$B$13,0),MATCH(Table1[[#This Row],[Complexidade]],Auxiliar!$D$4:$F$4,0))</f>
        <v>2</v>
      </c>
      <c r="P147" s="2" t="s">
        <v>1290</v>
      </c>
      <c r="Q147" s="2"/>
      <c r="R147" s="152">
        <v>45261</v>
      </c>
      <c r="S147" s="152"/>
      <c r="T147" s="152">
        <v>45562</v>
      </c>
      <c r="U147" s="152">
        <v>45607</v>
      </c>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619</v>
      </c>
      <c r="J148" s="43">
        <f>VLOOKUP(Table1[[#This Row],[Status]],Auxiliar!$B$16:$C$24,2,0)</f>
        <v>7</v>
      </c>
      <c r="K148" s="2" t="s">
        <v>1269</v>
      </c>
      <c r="L148" s="29" t="s">
        <v>1264</v>
      </c>
      <c r="M148" s="21" t="s">
        <v>1273</v>
      </c>
      <c r="N148" s="48">
        <v>45485</v>
      </c>
      <c r="O148" s="21">
        <f>INDEX(Auxiliar!$D$5:$F$13,MATCH(Table1[[#This Row],[Tipologia_Testes]],Auxiliar!$B$5:$B$13,0),MATCH(Table1[[#This Row],[Complexidade]],Auxiliar!$D$4:$F$4,0))</f>
        <v>0.1</v>
      </c>
      <c r="P148" s="2" t="s">
        <v>1290</v>
      </c>
      <c r="Q148" s="2"/>
      <c r="R148" s="152">
        <v>45261</v>
      </c>
      <c r="S148" s="152"/>
      <c r="T148" s="152">
        <v>45562</v>
      </c>
      <c r="U148" s="152">
        <v>45607</v>
      </c>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128</v>
      </c>
      <c r="H149" s="57" t="str">
        <f>Table1[[#This Row],[Tabela]]&amp;Table1[[#This Row],[Campo]]</f>
        <v>PROPERTY_ENERGY_CERTIFICATEEPC_ISSUING_DATE</v>
      </c>
      <c r="I149" s="2" t="s">
        <v>619</v>
      </c>
      <c r="J149" s="43">
        <f>VLOOKUP(Table1[[#This Row],[Status]],Auxiliar!$B$16:$C$24,2,0)</f>
        <v>7</v>
      </c>
      <c r="K149" s="2" t="s">
        <v>1266</v>
      </c>
      <c r="L149" s="29" t="s">
        <v>1264</v>
      </c>
      <c r="M149" s="21" t="s">
        <v>1273</v>
      </c>
      <c r="N149" s="48">
        <v>45485</v>
      </c>
      <c r="O149" s="21">
        <f>INDEX(Auxiliar!$D$5:$F$13,MATCH(Table1[[#This Row],[Tipologia_Testes]],Auxiliar!$B$5:$B$13,0),MATCH(Table1[[#This Row],[Complexidade]],Auxiliar!$D$4:$F$4,0))</f>
        <v>2</v>
      </c>
      <c r="P149" s="2" t="s">
        <v>1290</v>
      </c>
      <c r="Q149" s="2"/>
      <c r="R149" s="152">
        <v>45261</v>
      </c>
      <c r="S149" s="152"/>
      <c r="T149" s="152">
        <v>45562</v>
      </c>
      <c r="U149" s="152">
        <v>45607</v>
      </c>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128</v>
      </c>
      <c r="H150" s="57" t="str">
        <f>Table1[[#This Row],[Tabela]]&amp;Table1[[#This Row],[Campo]]</f>
        <v>PROPERTY_ENERGY_CERTIFICATEEPC_ISSUING_DATE</v>
      </c>
      <c r="I150" s="2" t="s">
        <v>619</v>
      </c>
      <c r="J150" s="43">
        <f>VLOOKUP(Table1[[#This Row],[Status]],Auxiliar!$B$16:$C$24,2,0)</f>
        <v>7</v>
      </c>
      <c r="K150" s="2" t="s">
        <v>1267</v>
      </c>
      <c r="L150" s="29" t="s">
        <v>1264</v>
      </c>
      <c r="M150" s="21" t="s">
        <v>1273</v>
      </c>
      <c r="N150" s="48">
        <v>45485</v>
      </c>
      <c r="O150" s="21">
        <f>INDEX(Auxiliar!$D$5:$F$13,MATCH(Table1[[#This Row],[Tipologia_Testes]],Auxiliar!$B$5:$B$13,0),MATCH(Table1[[#This Row],[Complexidade]],Auxiliar!$D$4:$F$4,0))</f>
        <v>2</v>
      </c>
      <c r="P150" s="2" t="s">
        <v>1290</v>
      </c>
      <c r="Q150" s="2"/>
      <c r="R150" s="152">
        <v>45261</v>
      </c>
      <c r="S150" s="152"/>
      <c r="T150" s="152">
        <v>45562</v>
      </c>
      <c r="U150" s="152">
        <v>45607</v>
      </c>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128</v>
      </c>
      <c r="H151" s="57" t="str">
        <f>Table1[[#This Row],[Tabela]]&amp;Table1[[#This Row],[Campo]]</f>
        <v>PROPERTY_ENERGY_CERTIFICATEEPC_ISSUING_DATE</v>
      </c>
      <c r="I151" s="2" t="s">
        <v>619</v>
      </c>
      <c r="J151" s="43">
        <f>VLOOKUP(Table1[[#This Row],[Status]],Auxiliar!$B$16:$C$24,2,0)</f>
        <v>7</v>
      </c>
      <c r="K151" s="2" t="s">
        <v>1269</v>
      </c>
      <c r="L151" s="29" t="s">
        <v>1264</v>
      </c>
      <c r="M151" s="21" t="s">
        <v>1273</v>
      </c>
      <c r="N151" s="48">
        <v>45485</v>
      </c>
      <c r="O151" s="21">
        <f>INDEX(Auxiliar!$D$5:$F$13,MATCH(Table1[[#This Row],[Tipologia_Testes]],Auxiliar!$B$5:$B$13,0),MATCH(Table1[[#This Row],[Complexidade]],Auxiliar!$D$4:$F$4,0))</f>
        <v>0.1</v>
      </c>
      <c r="P151" s="2" t="s">
        <v>1290</v>
      </c>
      <c r="Q151" s="2"/>
      <c r="R151" s="152">
        <v>45261</v>
      </c>
      <c r="S151" s="152"/>
      <c r="T151" s="152">
        <v>45562</v>
      </c>
      <c r="U151" s="152">
        <v>45607</v>
      </c>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129</v>
      </c>
      <c r="H152" s="57" t="str">
        <f>Table1[[#This Row],[Tabela]]&amp;Table1[[#This Row],[Campo]]</f>
        <v>PROPERTY_ENERGY_CERTIFICATEEPC_EXPIRATION_DATE</v>
      </c>
      <c r="I152" s="2" t="s">
        <v>619</v>
      </c>
      <c r="J152" s="43">
        <f>VLOOKUP(Table1[[#This Row],[Status]],Auxiliar!$B$16:$C$24,2,0)</f>
        <v>7</v>
      </c>
      <c r="K152" s="2" t="s">
        <v>1266</v>
      </c>
      <c r="L152" s="29" t="s">
        <v>1264</v>
      </c>
      <c r="M152" s="21" t="s">
        <v>1273</v>
      </c>
      <c r="N152" s="48">
        <v>45485</v>
      </c>
      <c r="O152" s="21">
        <f>INDEX(Auxiliar!$D$5:$F$13,MATCH(Table1[[#This Row],[Tipologia_Testes]],Auxiliar!$B$5:$B$13,0),MATCH(Table1[[#This Row],[Complexidade]],Auxiliar!$D$4:$F$4,0))</f>
        <v>2</v>
      </c>
      <c r="P152" s="2" t="s">
        <v>1290</v>
      </c>
      <c r="Q152" s="2"/>
      <c r="R152" s="152">
        <v>45261</v>
      </c>
      <c r="S152" s="152"/>
      <c r="T152" s="152">
        <v>45562</v>
      </c>
      <c r="U152" s="152">
        <v>45607</v>
      </c>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129</v>
      </c>
      <c r="H153" s="57" t="str">
        <f>Table1[[#This Row],[Tabela]]&amp;Table1[[#This Row],[Campo]]</f>
        <v>PROPERTY_ENERGY_CERTIFICATEEPC_EXPIRATION_DATE</v>
      </c>
      <c r="I153" s="2" t="s">
        <v>619</v>
      </c>
      <c r="J153" s="43">
        <f>VLOOKUP(Table1[[#This Row],[Status]],Auxiliar!$B$16:$C$24,2,0)</f>
        <v>7</v>
      </c>
      <c r="K153" s="2" t="s">
        <v>1267</v>
      </c>
      <c r="L153" s="29" t="s">
        <v>1264</v>
      </c>
      <c r="M153" s="21" t="s">
        <v>1273</v>
      </c>
      <c r="N153" s="48">
        <v>45485</v>
      </c>
      <c r="O153" s="21">
        <f>INDEX(Auxiliar!$D$5:$F$13,MATCH(Table1[[#This Row],[Tipologia_Testes]],Auxiliar!$B$5:$B$13,0),MATCH(Table1[[#This Row],[Complexidade]],Auxiliar!$D$4:$F$4,0))</f>
        <v>2</v>
      </c>
      <c r="P153" s="2" t="s">
        <v>1290</v>
      </c>
      <c r="Q153" s="2"/>
      <c r="R153" s="152">
        <v>45261</v>
      </c>
      <c r="S153" s="152"/>
      <c r="T153" s="152">
        <v>45562</v>
      </c>
      <c r="U153" s="152">
        <v>45607</v>
      </c>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619</v>
      </c>
      <c r="J154" s="43">
        <f>VLOOKUP(Table1[[#This Row],[Status]],Auxiliar!$B$16:$C$24,2,0)</f>
        <v>7</v>
      </c>
      <c r="K154" s="2" t="s">
        <v>1269</v>
      </c>
      <c r="L154" s="29" t="s">
        <v>1264</v>
      </c>
      <c r="M154" s="21" t="s">
        <v>1273</v>
      </c>
      <c r="N154" s="48">
        <v>45485</v>
      </c>
      <c r="O154" s="21">
        <f>INDEX(Auxiliar!$D$5:$F$13,MATCH(Table1[[#This Row],[Tipologia_Testes]],Auxiliar!$B$5:$B$13,0),MATCH(Table1[[#This Row],[Complexidade]],Auxiliar!$D$4:$F$4,0))</f>
        <v>0.1</v>
      </c>
      <c r="P154" s="2" t="s">
        <v>1290</v>
      </c>
      <c r="Q154" s="2"/>
      <c r="R154" s="152">
        <v>45261</v>
      </c>
      <c r="S154" s="152"/>
      <c r="T154" s="152">
        <v>45562</v>
      </c>
      <c r="U154" s="152">
        <v>45607</v>
      </c>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47</v>
      </c>
      <c r="H155" s="57" t="str">
        <f>Table1[[#This Row],[Tabela]]&amp;Table1[[#This Row],[Campo]]</f>
        <v>PROPERTY_ENERGY_CERTIFICATEEPC</v>
      </c>
      <c r="I155" s="2" t="s">
        <v>619</v>
      </c>
      <c r="J155" s="43">
        <f>VLOOKUP(Table1[[#This Row],[Status]],Auxiliar!$B$16:$C$24,2,0)</f>
        <v>7</v>
      </c>
      <c r="K155" s="2" t="s">
        <v>1266</v>
      </c>
      <c r="L155" s="29" t="s">
        <v>1264</v>
      </c>
      <c r="M155" s="21" t="s">
        <v>1273</v>
      </c>
      <c r="N155" s="48">
        <v>45485</v>
      </c>
      <c r="O155" s="21">
        <f>INDEX(Auxiliar!$D$5:$F$13,MATCH(Table1[[#This Row],[Tipologia_Testes]],Auxiliar!$B$5:$B$13,0),MATCH(Table1[[#This Row],[Complexidade]],Auxiliar!$D$4:$F$4,0))</f>
        <v>2</v>
      </c>
      <c r="P155" s="2" t="s">
        <v>1290</v>
      </c>
      <c r="Q155" s="2"/>
      <c r="R155" s="152">
        <v>45261</v>
      </c>
      <c r="S155" s="152"/>
      <c r="T155" s="152">
        <v>45562</v>
      </c>
      <c r="U155" s="152">
        <v>45607</v>
      </c>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47</v>
      </c>
      <c r="H156" s="57" t="str">
        <f>Table1[[#This Row],[Tabela]]&amp;Table1[[#This Row],[Campo]]</f>
        <v>PROPERTY_ENERGY_CERTIFICATEEPC</v>
      </c>
      <c r="I156" s="2" t="s">
        <v>619</v>
      </c>
      <c r="J156" s="43">
        <f>VLOOKUP(Table1[[#This Row],[Status]],Auxiliar!$B$16:$C$24,2,0)</f>
        <v>7</v>
      </c>
      <c r="K156" s="2" t="s">
        <v>1267</v>
      </c>
      <c r="L156" s="29" t="s">
        <v>1264</v>
      </c>
      <c r="M156" s="21" t="s">
        <v>1273</v>
      </c>
      <c r="N156" s="48">
        <v>45485</v>
      </c>
      <c r="O156" s="21">
        <f>INDEX(Auxiliar!$D$5:$F$13,MATCH(Table1[[#This Row],[Tipologia_Testes]],Auxiliar!$B$5:$B$13,0),MATCH(Table1[[#This Row],[Complexidade]],Auxiliar!$D$4:$F$4,0))</f>
        <v>2</v>
      </c>
      <c r="P156" s="2" t="s">
        <v>1290</v>
      </c>
      <c r="Q156" s="2"/>
      <c r="R156" s="152">
        <v>45261</v>
      </c>
      <c r="S156" s="152"/>
      <c r="T156" s="152">
        <v>45562</v>
      </c>
      <c r="U156" s="152">
        <v>45607</v>
      </c>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47</v>
      </c>
      <c r="H157" s="57" t="str">
        <f>Table1[[#This Row],[Tabela]]&amp;Table1[[#This Row],[Campo]]</f>
        <v>PROPERTY_ENERGY_CERTIFICATEEPC</v>
      </c>
      <c r="I157" s="2" t="s">
        <v>619</v>
      </c>
      <c r="J157" s="43">
        <f>VLOOKUP(Table1[[#This Row],[Status]],Auxiliar!$B$16:$C$24,2,0)</f>
        <v>7</v>
      </c>
      <c r="K157" s="2" t="s">
        <v>1269</v>
      </c>
      <c r="L157" s="29" t="s">
        <v>1264</v>
      </c>
      <c r="M157" s="21" t="s">
        <v>1273</v>
      </c>
      <c r="N157" s="48">
        <v>45485</v>
      </c>
      <c r="O157" s="21">
        <f>INDEX(Auxiliar!$D$5:$F$13,MATCH(Table1[[#This Row],[Tipologia_Testes]],Auxiliar!$B$5:$B$13,0),MATCH(Table1[[#This Row],[Complexidade]],Auxiliar!$D$4:$F$4,0))</f>
        <v>0.1</v>
      </c>
      <c r="P157" s="2" t="s">
        <v>1290</v>
      </c>
      <c r="Q157" s="2"/>
      <c r="R157" s="152">
        <v>45261</v>
      </c>
      <c r="S157" s="152"/>
      <c r="T157" s="152">
        <v>45562</v>
      </c>
      <c r="U157" s="152">
        <v>45607</v>
      </c>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7" hidden="1"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7"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132</v>
      </c>
      <c r="H164" s="57" t="str">
        <f>Table1[[#This Row],[Tabela]]&amp;Table1[[#This Row],[Campo]]</f>
        <v>PROPERTY_ENERGY_CERTIFICATEENERGY_EFFICIENCY_IND</v>
      </c>
      <c r="I164" s="2" t="s">
        <v>619</v>
      </c>
      <c r="J164" s="43">
        <f>VLOOKUP(Table1[[#This Row],[Status]],Auxiliar!$B$16:$C$24,2,0)</f>
        <v>7</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v>45562</v>
      </c>
      <c r="U164" s="152">
        <v>45607</v>
      </c>
      <c r="V164" s="152"/>
      <c r="W164" s="2">
        <f>VLOOKUP(Table1[[#This Row],[Status]],Auxiliar!$B$16:$D$24,3,0)*Table1[[#This Row],[Estimação (horas)]]</f>
        <v>0.5</v>
      </c>
      <c r="X164" s="2"/>
    </row>
    <row r="165" spans="2:24" ht="17.7" hidden="1" customHeight="1">
      <c r="B165" s="2" t="s">
        <v>26</v>
      </c>
      <c r="C165" s="2" t="s">
        <v>54</v>
      </c>
      <c r="D165" s="2" t="s">
        <v>124</v>
      </c>
      <c r="E165" s="2" t="s">
        <v>38</v>
      </c>
      <c r="F165" s="2" t="s">
        <v>123</v>
      </c>
      <c r="G165" s="2" t="s">
        <v>132</v>
      </c>
      <c r="H165" s="57" t="str">
        <f>Table1[[#This Row],[Tabela]]&amp;Table1[[#This Row],[Campo]]</f>
        <v>PROPERTY_ENERGY_CERTIFICATEENERGY_EFFICIENCY_IND</v>
      </c>
      <c r="I165" s="2" t="s">
        <v>619</v>
      </c>
      <c r="J165" s="43">
        <f>VLOOKUP(Table1[[#This Row],[Status]],Auxiliar!$B$16:$C$24,2,0)</f>
        <v>7</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v>45562</v>
      </c>
      <c r="U165" s="152">
        <v>45607</v>
      </c>
      <c r="V165" s="152"/>
      <c r="W165" s="2">
        <f>VLOOKUP(Table1[[#This Row],[Status]],Auxiliar!$B$16:$D$24,3,0)*Table1[[#This Row],[Estimação (horas)]]</f>
        <v>0.5</v>
      </c>
      <c r="X165" s="2"/>
    </row>
    <row r="166" spans="2:24" ht="17.7"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619</v>
      </c>
      <c r="J166" s="43">
        <f>VLOOKUP(Table1[[#This Row],[Status]],Auxiliar!$B$16:$C$24,2,0)</f>
        <v>7</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v>45562</v>
      </c>
      <c r="U166" s="152">
        <v>45607</v>
      </c>
      <c r="V166" s="152"/>
      <c r="W166" s="2">
        <f>VLOOKUP(Table1[[#This Row],[Status]],Auxiliar!$B$16:$D$24,3,0)*Table1[[#This Row],[Estimação (horas)]]</f>
        <v>2.5000000000000001E-2</v>
      </c>
      <c r="X166" s="2"/>
    </row>
    <row r="167" spans="2:24" ht="17.7" hidden="1" customHeight="1">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134</v>
      </c>
      <c r="H170" s="57" t="str">
        <f>Table1[[#This Row],[Tabela]]&amp;Table1[[#This Row],[Campo]]</f>
        <v>PROPERTY_ENERGY_CERTIFICATENZEB_IND</v>
      </c>
      <c r="I170" s="2" t="s">
        <v>619</v>
      </c>
      <c r="J170" s="43">
        <f>VLOOKUP(Table1[[#This Row],[Status]],Auxiliar!$B$16:$C$24,2,0)</f>
        <v>7</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v>45562</v>
      </c>
      <c r="U170" s="152">
        <v>45607</v>
      </c>
      <c r="V170" s="152"/>
      <c r="W170" s="2">
        <f>VLOOKUP(Table1[[#This Row],[Status]],Auxiliar!$B$16:$D$24,3,0)*Table1[[#This Row],[Estimação (horas)]]</f>
        <v>0.5</v>
      </c>
      <c r="X170" s="2"/>
    </row>
    <row r="171" spans="2:24" ht="17.7" hidden="1" customHeight="1">
      <c r="B171" s="2" t="s">
        <v>26</v>
      </c>
      <c r="C171" s="2" t="s">
        <v>54</v>
      </c>
      <c r="D171" s="2" t="s">
        <v>124</v>
      </c>
      <c r="E171" s="2" t="s">
        <v>38</v>
      </c>
      <c r="F171" s="2" t="s">
        <v>123</v>
      </c>
      <c r="G171" s="2" t="s">
        <v>134</v>
      </c>
      <c r="H171" s="57" t="str">
        <f>Table1[[#This Row],[Tabela]]&amp;Table1[[#This Row],[Campo]]</f>
        <v>PROPERTY_ENERGY_CERTIFICATENZEB_IND</v>
      </c>
      <c r="I171" s="2" t="s">
        <v>619</v>
      </c>
      <c r="J171" s="43">
        <f>VLOOKUP(Table1[[#This Row],[Status]],Auxiliar!$B$16:$C$24,2,0)</f>
        <v>7</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v>45562</v>
      </c>
      <c r="U171" s="152">
        <v>45607</v>
      </c>
      <c r="V171" s="152"/>
      <c r="W171" s="2">
        <f>VLOOKUP(Table1[[#This Row],[Status]],Auxiliar!$B$16:$D$24,3,0)*Table1[[#This Row],[Estimação (horas)]]</f>
        <v>0.5</v>
      </c>
      <c r="X171" s="2"/>
    </row>
    <row r="172" spans="2:24" ht="17.7" hidden="1" customHeight="1">
      <c r="B172" s="2" t="s">
        <v>26</v>
      </c>
      <c r="C172" s="2" t="s">
        <v>54</v>
      </c>
      <c r="D172" s="2" t="s">
        <v>124</v>
      </c>
      <c r="E172" s="2" t="s">
        <v>38</v>
      </c>
      <c r="F172" s="2" t="s">
        <v>123</v>
      </c>
      <c r="G172" s="2" t="s">
        <v>134</v>
      </c>
      <c r="H172" s="57" t="str">
        <f>Table1[[#This Row],[Tabela]]&amp;Table1[[#This Row],[Campo]]</f>
        <v>PROPERTY_ENERGY_CERTIFICATENZEB_IND</v>
      </c>
      <c r="I172" s="2" t="s">
        <v>619</v>
      </c>
      <c r="J172" s="43">
        <f>VLOOKUP(Table1[[#This Row],[Status]],Auxiliar!$B$16:$C$24,2,0)</f>
        <v>7</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v>45562</v>
      </c>
      <c r="U172" s="152">
        <v>45607</v>
      </c>
      <c r="V172" s="152"/>
      <c r="W172" s="2">
        <f>VLOOKUP(Table1[[#This Row],[Status]],Auxiliar!$B$16:$D$24,3,0)*Table1[[#This Row],[Estimação (horas)]]</f>
        <v>2.5000000000000001E-2</v>
      </c>
      <c r="X172" s="2"/>
    </row>
    <row r="173" spans="2:24" ht="17.7" hidden="1" customHeight="1">
      <c r="B173" s="2" t="s">
        <v>26</v>
      </c>
      <c r="C173" s="2" t="s">
        <v>54</v>
      </c>
      <c r="D173" s="2" t="s">
        <v>124</v>
      </c>
      <c r="E173" s="2" t="s">
        <v>38</v>
      </c>
      <c r="F173" s="2" t="s">
        <v>123</v>
      </c>
      <c r="G173" s="2" t="s">
        <v>49</v>
      </c>
      <c r="H173" s="57" t="str">
        <f>Table1[[#This Row],[Tabela]]&amp;Table1[[#This Row],[Campo]]</f>
        <v>PROPERTY_ENERGY_CERTIFICATEACTUAL_VALUE_IND</v>
      </c>
      <c r="I173" s="2" t="s">
        <v>619</v>
      </c>
      <c r="J173" s="43">
        <f>VLOOKUP(Table1[[#This Row],[Status]],Auxiliar!$B$16:$C$24,2,0)</f>
        <v>7</v>
      </c>
      <c r="K173" s="2" t="s">
        <v>1266</v>
      </c>
      <c r="L173" s="29" t="s">
        <v>1264</v>
      </c>
      <c r="M173" s="21" t="s">
        <v>1273</v>
      </c>
      <c r="N173" s="48">
        <v>45562</v>
      </c>
      <c r="O173" s="21">
        <f>INDEX(Auxiliar!$D$5:$F$13,MATCH(Table1[[#This Row],[Tipologia_Testes]],Auxiliar!$B$5:$B$13,0),MATCH(Table1[[#This Row],[Complexidade]],Auxiliar!$D$4:$F$4,0))</f>
        <v>2</v>
      </c>
      <c r="P173" s="2" t="s">
        <v>1290</v>
      </c>
      <c r="Q173" s="2"/>
      <c r="R173" s="152">
        <v>45562</v>
      </c>
      <c r="S173" s="152"/>
      <c r="T173" s="152">
        <v>45562</v>
      </c>
      <c r="U173" s="152">
        <v>45607</v>
      </c>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49</v>
      </c>
      <c r="H174" s="57" t="str">
        <f>Table1[[#This Row],[Tabela]]&amp;Table1[[#This Row],[Campo]]</f>
        <v>PROPERTY_ENERGY_CERTIFICATEACTUAL_VALUE_IND</v>
      </c>
      <c r="I174" s="2" t="s">
        <v>619</v>
      </c>
      <c r="J174" s="43">
        <f>VLOOKUP(Table1[[#This Row],[Status]],Auxiliar!$B$16:$C$24,2,0)</f>
        <v>7</v>
      </c>
      <c r="K174" s="2" t="s">
        <v>1267</v>
      </c>
      <c r="L174" s="29" t="s">
        <v>1264</v>
      </c>
      <c r="M174" s="21" t="s">
        <v>1273</v>
      </c>
      <c r="N174" s="48">
        <v>45562</v>
      </c>
      <c r="O174" s="21">
        <f>INDEX(Auxiliar!$D$5:$F$13,MATCH(Table1[[#This Row],[Tipologia_Testes]],Auxiliar!$B$5:$B$13,0),MATCH(Table1[[#This Row],[Complexidade]],Auxiliar!$D$4:$F$4,0))</f>
        <v>2</v>
      </c>
      <c r="P174" s="2" t="s">
        <v>1290</v>
      </c>
      <c r="Q174" s="2"/>
      <c r="R174" s="152">
        <v>45562</v>
      </c>
      <c r="S174" s="152"/>
      <c r="T174" s="152">
        <v>45562</v>
      </c>
      <c r="U174" s="152">
        <v>45607</v>
      </c>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49</v>
      </c>
      <c r="H175" s="57" t="str">
        <f>Table1[[#This Row],[Tabela]]&amp;Table1[[#This Row],[Campo]]</f>
        <v>PROPERTY_ENERGY_CERTIFICATEACTUAL_VALUE_IND</v>
      </c>
      <c r="I175" s="2" t="s">
        <v>619</v>
      </c>
      <c r="J175" s="43">
        <f>VLOOKUP(Table1[[#This Row],[Status]],Auxiliar!$B$16:$C$24,2,0)</f>
        <v>7</v>
      </c>
      <c r="K175" s="2" t="s">
        <v>1269</v>
      </c>
      <c r="L175" s="29" t="s">
        <v>1264</v>
      </c>
      <c r="M175" s="21" t="s">
        <v>1273</v>
      </c>
      <c r="N175" s="48">
        <v>45562</v>
      </c>
      <c r="O175" s="21">
        <f>INDEX(Auxiliar!$D$5:$F$13,MATCH(Table1[[#This Row],[Tipologia_Testes]],Auxiliar!$B$5:$B$13,0),MATCH(Table1[[#This Row],[Complexidade]],Auxiliar!$D$4:$F$4,0))</f>
        <v>0.1</v>
      </c>
      <c r="P175" s="2" t="s">
        <v>1290</v>
      </c>
      <c r="Q175" s="2"/>
      <c r="R175" s="152">
        <v>45562</v>
      </c>
      <c r="S175" s="152"/>
      <c r="T175" s="152">
        <v>45562</v>
      </c>
      <c r="U175" s="152">
        <v>45607</v>
      </c>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7" hidden="1"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7"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7" hidden="1" customHeight="1">
      <c r="B179" s="2" t="s">
        <v>26</v>
      </c>
      <c r="C179" s="2" t="s">
        <v>54</v>
      </c>
      <c r="D179" s="2" t="s">
        <v>124</v>
      </c>
      <c r="E179" s="2" t="s">
        <v>38</v>
      </c>
      <c r="F179" s="2" t="s">
        <v>123</v>
      </c>
      <c r="G179" s="2" t="s">
        <v>87</v>
      </c>
      <c r="H179" s="57" t="str">
        <f>Table1[[#This Row],[Tabela]]&amp;Table1[[#This Row],[Campo]]</f>
        <v>PROPERTY_ENERGY_CERTIFICATESOURCE_CODE</v>
      </c>
      <c r="I179" s="2" t="s">
        <v>619</v>
      </c>
      <c r="J179" s="43">
        <f>VLOOKUP(Table1[[#This Row],[Status]],Auxiliar!$B$16:$C$24,2,0)</f>
        <v>7</v>
      </c>
      <c r="K179" s="2" t="s">
        <v>1266</v>
      </c>
      <c r="L179" s="29" t="s">
        <v>1264</v>
      </c>
      <c r="M179" s="21" t="s">
        <v>1273</v>
      </c>
      <c r="N179" s="48">
        <v>45562</v>
      </c>
      <c r="O179" s="21">
        <f>INDEX(Auxiliar!$D$5:$F$13,MATCH(Table1[[#This Row],[Tipologia_Testes]],Auxiliar!$B$5:$B$13,0),MATCH(Table1[[#This Row],[Complexidade]],Auxiliar!$D$4:$F$4,0))</f>
        <v>2</v>
      </c>
      <c r="P179" s="2" t="s">
        <v>1290</v>
      </c>
      <c r="Q179" s="2"/>
      <c r="R179" s="152">
        <v>45562</v>
      </c>
      <c r="S179" s="152"/>
      <c r="T179" s="152">
        <v>45562</v>
      </c>
      <c r="U179" s="152">
        <v>45607</v>
      </c>
      <c r="V179" s="152"/>
      <c r="W179" s="2">
        <f>VLOOKUP(Table1[[#This Row],[Status]],Auxiliar!$B$16:$D$24,3,0)*Table1[[#This Row],[Estimação (horas)]]</f>
        <v>0.5</v>
      </c>
      <c r="X179" s="2"/>
    </row>
    <row r="180" spans="2:24" ht="17.7" hidden="1" customHeight="1">
      <c r="B180" s="2" t="s">
        <v>26</v>
      </c>
      <c r="C180" s="2" t="s">
        <v>54</v>
      </c>
      <c r="D180" s="2" t="s">
        <v>124</v>
      </c>
      <c r="E180" s="2" t="s">
        <v>38</v>
      </c>
      <c r="F180" s="2" t="s">
        <v>123</v>
      </c>
      <c r="G180" s="2" t="s">
        <v>87</v>
      </c>
      <c r="H180" s="57" t="str">
        <f>Table1[[#This Row],[Tabela]]&amp;Table1[[#This Row],[Campo]]</f>
        <v>PROPERTY_ENERGY_CERTIFICATESOURCE_CODE</v>
      </c>
      <c r="I180" s="2" t="s">
        <v>619</v>
      </c>
      <c r="J180" s="43">
        <f>VLOOKUP(Table1[[#This Row],[Status]],Auxiliar!$B$16:$C$24,2,0)</f>
        <v>7</v>
      </c>
      <c r="K180" s="2" t="s">
        <v>1267</v>
      </c>
      <c r="L180" s="29" t="s">
        <v>1264</v>
      </c>
      <c r="M180" s="21" t="s">
        <v>1273</v>
      </c>
      <c r="N180" s="48">
        <v>45562</v>
      </c>
      <c r="O180" s="21">
        <f>INDEX(Auxiliar!$D$5:$F$13,MATCH(Table1[[#This Row],[Tipologia_Testes]],Auxiliar!$B$5:$B$13,0),MATCH(Table1[[#This Row],[Complexidade]],Auxiliar!$D$4:$F$4,0))</f>
        <v>2</v>
      </c>
      <c r="P180" s="2" t="s">
        <v>1290</v>
      </c>
      <c r="Q180" s="2"/>
      <c r="R180" s="152">
        <v>45562</v>
      </c>
      <c r="S180" s="152"/>
      <c r="T180" s="152">
        <v>45562</v>
      </c>
      <c r="U180" s="152">
        <v>45607</v>
      </c>
      <c r="V180" s="152"/>
      <c r="W180" s="2">
        <f>VLOOKUP(Table1[[#This Row],[Status]],Auxiliar!$B$16:$D$24,3,0)*Table1[[#This Row],[Estimação (horas)]]</f>
        <v>0.5</v>
      </c>
      <c r="X180" s="2"/>
    </row>
    <row r="181" spans="2:24" ht="17.7" hidden="1" customHeight="1">
      <c r="B181" s="2" t="s">
        <v>26</v>
      </c>
      <c r="C181" s="2" t="s">
        <v>54</v>
      </c>
      <c r="D181" s="2" t="s">
        <v>124</v>
      </c>
      <c r="E181" s="2" t="s">
        <v>38</v>
      </c>
      <c r="F181" s="2" t="s">
        <v>123</v>
      </c>
      <c r="G181" s="2" t="s">
        <v>87</v>
      </c>
      <c r="H181" s="57" t="str">
        <f>Table1[[#This Row],[Tabela]]&amp;Table1[[#This Row],[Campo]]</f>
        <v>PROPERTY_ENERGY_CERTIFICATESOURCE_CODE</v>
      </c>
      <c r="I181" s="2" t="s">
        <v>619</v>
      </c>
      <c r="J181" s="43">
        <f>VLOOKUP(Table1[[#This Row],[Status]],Auxiliar!$B$16:$C$24,2,0)</f>
        <v>7</v>
      </c>
      <c r="K181" s="2" t="s">
        <v>1269</v>
      </c>
      <c r="L181" s="29" t="s">
        <v>1264</v>
      </c>
      <c r="M181" s="21" t="s">
        <v>1273</v>
      </c>
      <c r="N181" s="48">
        <v>45562</v>
      </c>
      <c r="O181" s="21">
        <f>INDEX(Auxiliar!$D$5:$F$13,MATCH(Table1[[#This Row],[Tipologia_Testes]],Auxiliar!$B$5:$B$13,0),MATCH(Table1[[#This Row],[Complexidade]],Auxiliar!$D$4:$F$4,0))</f>
        <v>0.1</v>
      </c>
      <c r="P181" s="2" t="s">
        <v>1290</v>
      </c>
      <c r="Q181" s="2"/>
      <c r="R181" s="152">
        <v>45562</v>
      </c>
      <c r="S181" s="152"/>
      <c r="T181" s="152">
        <v>45562</v>
      </c>
      <c r="U181" s="152">
        <v>45607</v>
      </c>
      <c r="V181" s="152"/>
      <c r="W181" s="2">
        <f>VLOOKUP(Table1[[#This Row],[Status]],Auxiliar!$B$16:$D$24,3,0)*Table1[[#This Row],[Estimação (horas)]]</f>
        <v>2.5000000000000001E-2</v>
      </c>
      <c r="X181" s="2"/>
    </row>
    <row r="182" spans="2:24" ht="17.7" hidden="1" customHeight="1">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7" hidden="1"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7"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7" hidden="1" customHeight="1">
      <c r="B185" s="2" t="s">
        <v>26</v>
      </c>
      <c r="C185" s="2" t="s">
        <v>54</v>
      </c>
      <c r="D185" s="2" t="s">
        <v>124</v>
      </c>
      <c r="E185" s="2" t="s">
        <v>38</v>
      </c>
      <c r="F185" s="2" t="s">
        <v>123</v>
      </c>
      <c r="G185" s="2" t="s">
        <v>136</v>
      </c>
      <c r="H185" s="57" t="str">
        <f>Table1[[#This Row],[Tabela]]&amp;Table1[[#This Row],[Campo]]</f>
        <v>PROPERTY_ENERGY_CERTIFICATECERTIFICATE_TYPE</v>
      </c>
      <c r="I185" s="2" t="s">
        <v>619</v>
      </c>
      <c r="J185" s="43">
        <f>VLOOKUP(Table1[[#This Row],[Status]],Auxiliar!$B$16:$C$24,2,0)</f>
        <v>7</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v>45562</v>
      </c>
      <c r="U185" s="152">
        <v>45607</v>
      </c>
      <c r="V185" s="152"/>
      <c r="W185" s="2">
        <f>VLOOKUP(Table1[[#This Row],[Status]],Auxiliar!$B$16:$D$24,3,0)*Table1[[#This Row],[Estimação (horas)]]</f>
        <v>0.5</v>
      </c>
      <c r="X185" s="2"/>
    </row>
    <row r="186" spans="2:24" ht="17.7" hidden="1" customHeight="1">
      <c r="B186" s="2" t="s">
        <v>26</v>
      </c>
      <c r="C186" s="2" t="s">
        <v>54</v>
      </c>
      <c r="D186" s="2" t="s">
        <v>124</v>
      </c>
      <c r="E186" s="2" t="s">
        <v>38</v>
      </c>
      <c r="F186" s="2" t="s">
        <v>123</v>
      </c>
      <c r="G186" s="2" t="s">
        <v>136</v>
      </c>
      <c r="H186" s="57" t="str">
        <f>Table1[[#This Row],[Tabela]]&amp;Table1[[#This Row],[Campo]]</f>
        <v>PROPERTY_ENERGY_CERTIFICATECERTIFICATE_TYPE</v>
      </c>
      <c r="I186" s="2" t="s">
        <v>619</v>
      </c>
      <c r="J186" s="43">
        <f>VLOOKUP(Table1[[#This Row],[Status]],Auxiliar!$B$16:$C$24,2,0)</f>
        <v>7</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v>45562</v>
      </c>
      <c r="U186" s="152">
        <v>45607</v>
      </c>
      <c r="V186" s="152"/>
      <c r="W186" s="2">
        <f>VLOOKUP(Table1[[#This Row],[Status]],Auxiliar!$B$16:$D$24,3,0)*Table1[[#This Row],[Estimação (horas)]]</f>
        <v>0.5</v>
      </c>
      <c r="X186" s="2"/>
    </row>
    <row r="187" spans="2:24" ht="17.7" hidden="1" customHeight="1">
      <c r="B187" s="2" t="s">
        <v>26</v>
      </c>
      <c r="C187" s="2" t="s">
        <v>54</v>
      </c>
      <c r="D187" s="2" t="s">
        <v>124</v>
      </c>
      <c r="E187" s="2" t="s">
        <v>38</v>
      </c>
      <c r="F187" s="2" t="s">
        <v>123</v>
      </c>
      <c r="G187" s="2" t="s">
        <v>136</v>
      </c>
      <c r="H187" s="57" t="str">
        <f>Table1[[#This Row],[Tabela]]&amp;Table1[[#This Row],[Campo]]</f>
        <v>PROPERTY_ENERGY_CERTIFICATECERTIFICATE_TYPE</v>
      </c>
      <c r="I187" s="2" t="s">
        <v>619</v>
      </c>
      <c r="J187" s="43">
        <f>VLOOKUP(Table1[[#This Row],[Status]],Auxiliar!$B$16:$C$24,2,0)</f>
        <v>7</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v>45562</v>
      </c>
      <c r="U187" s="152">
        <v>45607</v>
      </c>
      <c r="V187" s="152"/>
      <c r="W187" s="2">
        <f>VLOOKUP(Table1[[#This Row],[Status]],Auxiliar!$B$16:$D$24,3,0)*Table1[[#This Row],[Estimação (horas)]]</f>
        <v>2.5000000000000001E-2</v>
      </c>
      <c r="X187" s="2"/>
    </row>
    <row r="188" spans="2:24" ht="17.7" hidden="1" customHeight="1">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51</v>
      </c>
      <c r="H221" s="57" t="str">
        <f>Table1[[#This Row],[Tabela]]&amp;Table1[[#This Row],[Campo]]</f>
        <v>PROPERTY_ENERGY_CERTIFICATEENERGY_CONSUMPTION_VALUE_YEAR</v>
      </c>
      <c r="I221" s="2" t="s">
        <v>619</v>
      </c>
      <c r="J221" s="43">
        <f>VLOOKUP(Table1[[#This Row],[Status]],Auxiliar!$B$16:$C$24,2,0)</f>
        <v>7</v>
      </c>
      <c r="K221" s="2" t="s">
        <v>1266</v>
      </c>
      <c r="L221" s="29" t="s">
        <v>1264</v>
      </c>
      <c r="M221" s="21" t="s">
        <v>1273</v>
      </c>
      <c r="N221" s="48">
        <v>45562</v>
      </c>
      <c r="O221" s="21">
        <f>INDEX(Auxiliar!$D$5:$F$13,MATCH(Table1[[#This Row],[Tipologia_Testes]],Auxiliar!$B$5:$B$13,0),MATCH(Table1[[#This Row],[Complexidade]],Auxiliar!$D$4:$F$4,0))</f>
        <v>2</v>
      </c>
      <c r="P221" s="2" t="s">
        <v>1290</v>
      </c>
      <c r="Q221" s="2"/>
      <c r="R221" s="152">
        <v>45562</v>
      </c>
      <c r="S221" s="152"/>
      <c r="T221" s="152">
        <v>45562</v>
      </c>
      <c r="U221" s="152">
        <v>45607</v>
      </c>
      <c r="V221" s="152"/>
      <c r="W221" s="2">
        <f>VLOOKUP(Table1[[#This Row],[Status]],Auxiliar!$B$16:$D$24,3,0)*Table1[[#This Row],[Estimação (horas)]]</f>
        <v>0.5</v>
      </c>
      <c r="X221" s="2"/>
    </row>
    <row r="222" spans="2:24" ht="17.7" hidden="1"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619</v>
      </c>
      <c r="J222" s="43">
        <f>VLOOKUP(Table1[[#This Row],[Status]],Auxiliar!$B$16:$C$24,2,0)</f>
        <v>7</v>
      </c>
      <c r="K222" s="2" t="s">
        <v>1267</v>
      </c>
      <c r="L222" s="29" t="s">
        <v>1264</v>
      </c>
      <c r="M222" s="21" t="s">
        <v>1273</v>
      </c>
      <c r="N222" s="48">
        <v>45562</v>
      </c>
      <c r="O222" s="21">
        <f>INDEX(Auxiliar!$D$5:$F$13,MATCH(Table1[[#This Row],[Tipologia_Testes]],Auxiliar!$B$5:$B$13,0),MATCH(Table1[[#This Row],[Complexidade]],Auxiliar!$D$4:$F$4,0))</f>
        <v>2</v>
      </c>
      <c r="P222" s="2" t="s">
        <v>1290</v>
      </c>
      <c r="Q222" s="2"/>
      <c r="R222" s="152">
        <v>45562</v>
      </c>
      <c r="S222" s="152"/>
      <c r="T222" s="152">
        <v>45562</v>
      </c>
      <c r="U222" s="152">
        <v>45607</v>
      </c>
      <c r="V222" s="152"/>
      <c r="W222" s="2">
        <f>VLOOKUP(Table1[[#This Row],[Status]],Auxiliar!$B$16:$D$24,3,0)*Table1[[#This Row],[Estimação (horas)]]</f>
        <v>0.5</v>
      </c>
      <c r="X222" s="2"/>
    </row>
    <row r="223" spans="2:24" ht="17.7"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619</v>
      </c>
      <c r="J223" s="43">
        <f>VLOOKUP(Table1[[#This Row],[Status]],Auxiliar!$B$16:$C$24,2,0)</f>
        <v>7</v>
      </c>
      <c r="K223" s="2" t="s">
        <v>1269</v>
      </c>
      <c r="L223" s="29" t="s">
        <v>1264</v>
      </c>
      <c r="M223" s="21" t="s">
        <v>1273</v>
      </c>
      <c r="N223" s="48">
        <v>45562</v>
      </c>
      <c r="O223" s="21">
        <f>INDEX(Auxiliar!$D$5:$F$13,MATCH(Table1[[#This Row],[Tipologia_Testes]],Auxiliar!$B$5:$B$13,0),MATCH(Table1[[#This Row],[Complexidade]],Auxiliar!$D$4:$F$4,0))</f>
        <v>0.1</v>
      </c>
      <c r="P223" s="2" t="s">
        <v>1290</v>
      </c>
      <c r="Q223" s="2"/>
      <c r="R223" s="152">
        <v>45562</v>
      </c>
      <c r="S223" s="152"/>
      <c r="T223" s="152">
        <v>45562</v>
      </c>
      <c r="U223" s="152">
        <v>45607</v>
      </c>
      <c r="V223" s="152"/>
      <c r="W223" s="2">
        <f>VLOOKUP(Table1[[#This Row],[Status]],Auxiliar!$B$16:$D$24,3,0)*Table1[[#This Row],[Estimação (horas)]]</f>
        <v>2.5000000000000001E-2</v>
      </c>
      <c r="X223" s="2"/>
    </row>
    <row r="224" spans="2:24" ht="17.7" hidden="1" customHeight="1">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7" hidden="1"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7"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52</v>
      </c>
      <c r="H248" s="57" t="str">
        <f>Table1[[#This Row],[Tabela]]&amp;Table1[[#This Row],[Campo]]</f>
        <v>PROPERTY_ENERGY_CERTIFICATECARBON_EMISSION_VALUE_YEAR</v>
      </c>
      <c r="I248" s="2" t="s">
        <v>619</v>
      </c>
      <c r="J248" s="43">
        <f>VLOOKUP(Table1[[#This Row],[Status]],Auxiliar!$B$16:$C$24,2,0)</f>
        <v>7</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v>45562</v>
      </c>
      <c r="U248" s="152">
        <v>45607</v>
      </c>
      <c r="V248" s="152"/>
      <c r="W248" s="2">
        <f>VLOOKUP(Table1[[#This Row],[Status]],Auxiliar!$B$16:$D$24,3,0)*Table1[[#This Row],[Estimação (horas)]]</f>
        <v>0.5</v>
      </c>
      <c r="X248" s="2"/>
    </row>
    <row r="249" spans="2:24" ht="17.7" hidden="1" customHeight="1">
      <c r="B249" s="2" t="s">
        <v>26</v>
      </c>
      <c r="C249" s="2" t="s">
        <v>54</v>
      </c>
      <c r="D249" s="2" t="s">
        <v>124</v>
      </c>
      <c r="E249" s="2" t="s">
        <v>38</v>
      </c>
      <c r="F249" s="2" t="s">
        <v>123</v>
      </c>
      <c r="G249" s="2" t="s">
        <v>52</v>
      </c>
      <c r="H249" s="57" t="str">
        <f>Table1[[#This Row],[Tabela]]&amp;Table1[[#This Row],[Campo]]</f>
        <v>PROPERTY_ENERGY_CERTIFICATECARBON_EMISSION_VALUE_YEAR</v>
      </c>
      <c r="I249" s="2" t="s">
        <v>619</v>
      </c>
      <c r="J249" s="43">
        <f>VLOOKUP(Table1[[#This Row],[Status]],Auxiliar!$B$16:$C$24,2,0)</f>
        <v>7</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v>45562</v>
      </c>
      <c r="U249" s="152">
        <v>45607</v>
      </c>
      <c r="V249" s="152"/>
      <c r="W249" s="2">
        <f>VLOOKUP(Table1[[#This Row],[Status]],Auxiliar!$B$16:$D$24,3,0)*Table1[[#This Row],[Estimação (horas)]]</f>
        <v>0.5</v>
      </c>
      <c r="X249" s="2"/>
    </row>
    <row r="250" spans="2:24" ht="17.7"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619</v>
      </c>
      <c r="J250" s="43">
        <f>VLOOKUP(Table1[[#This Row],[Status]],Auxiliar!$B$16:$C$24,2,0)</f>
        <v>7</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v>45562</v>
      </c>
      <c r="U250" s="152">
        <v>45607</v>
      </c>
      <c r="V250" s="152"/>
      <c r="W250" s="2">
        <f>VLOOKUP(Table1[[#This Row],[Status]],Auxiliar!$B$16:$D$24,3,0)*Table1[[#This Row],[Estimação (horas)]]</f>
        <v>2.5000000000000001E-2</v>
      </c>
      <c r="X250" s="2"/>
    </row>
    <row r="251" spans="2:24" ht="17.7" hidden="1" customHeight="1">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7" hidden="1"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7"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160</v>
      </c>
      <c r="H263" s="57" t="str">
        <f>Table1[[#This Row],[Tabela]]&amp;Table1[[#This Row],[Campo]]</f>
        <v>PROPERTY_ENERGY_CERTIFICATEREN_ENERGY_PRODUCED_VALUE</v>
      </c>
      <c r="I263" s="2" t="s">
        <v>619</v>
      </c>
      <c r="J263" s="43">
        <f>VLOOKUP(Table1[[#This Row],[Status]],Auxiliar!$B$16:$C$24,2,0)</f>
        <v>7</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v>45562</v>
      </c>
      <c r="U263" s="152">
        <v>45607</v>
      </c>
      <c r="V263" s="152"/>
      <c r="W263" s="2">
        <f>VLOOKUP(Table1[[#This Row],[Status]],Auxiliar!$B$16:$D$24,3,0)*Table1[[#This Row],[Estimação (horas)]]</f>
        <v>0.5</v>
      </c>
      <c r="X263" s="2"/>
    </row>
    <row r="264" spans="2:24" ht="17.7" hidden="1" customHeight="1">
      <c r="B264" s="2" t="s">
        <v>26</v>
      </c>
      <c r="C264" s="2" t="s">
        <v>54</v>
      </c>
      <c r="D264" s="2" t="s">
        <v>124</v>
      </c>
      <c r="E264" s="2" t="s">
        <v>38</v>
      </c>
      <c r="F264" s="2" t="s">
        <v>123</v>
      </c>
      <c r="G264" s="2" t="s">
        <v>160</v>
      </c>
      <c r="H264" s="57" t="str">
        <f>Table1[[#This Row],[Tabela]]&amp;Table1[[#This Row],[Campo]]</f>
        <v>PROPERTY_ENERGY_CERTIFICATEREN_ENERGY_PRODUCED_VALUE</v>
      </c>
      <c r="I264" s="2" t="s">
        <v>619</v>
      </c>
      <c r="J264" s="43">
        <f>VLOOKUP(Table1[[#This Row],[Status]],Auxiliar!$B$16:$C$24,2,0)</f>
        <v>7</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v>45562</v>
      </c>
      <c r="U264" s="152">
        <v>45607</v>
      </c>
      <c r="V264" s="152"/>
      <c r="W264" s="2">
        <f>VLOOKUP(Table1[[#This Row],[Status]],Auxiliar!$B$16:$D$24,3,0)*Table1[[#This Row],[Estimação (horas)]]</f>
        <v>0.5</v>
      </c>
      <c r="X264" s="2"/>
    </row>
    <row r="265" spans="2:24" ht="17.7"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619</v>
      </c>
      <c r="J265" s="43">
        <f>VLOOKUP(Table1[[#This Row],[Status]],Auxiliar!$B$16:$C$24,2,0)</f>
        <v>7</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v>45562</v>
      </c>
      <c r="U265" s="152">
        <v>45607</v>
      </c>
      <c r="V265" s="152"/>
      <c r="W265" s="2">
        <f>VLOOKUP(Table1[[#This Row],[Status]],Auxiliar!$B$16:$D$24,3,0)*Table1[[#This Row],[Estimação (horas)]]</f>
        <v>2.5000000000000001E-2</v>
      </c>
      <c r="X265" s="2"/>
    </row>
    <row r="266" spans="2:24" ht="17.7" hidden="1" customHeight="1">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164</v>
      </c>
      <c r="H275" s="57" t="str">
        <f>Table1[[#This Row],[Tabela]]&amp;Table1[[#This Row],[Campo]]</f>
        <v>PROPERTY_ENERGY_CERTIFICATEPRIMARY_ENERGY_REQ_VALUE</v>
      </c>
      <c r="I275" s="2" t="s">
        <v>619</v>
      </c>
      <c r="J275" s="43">
        <f>VLOOKUP(Table1[[#This Row],[Status]],Auxiliar!$B$16:$C$24,2,0)</f>
        <v>7</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v>45562</v>
      </c>
      <c r="U275" s="152">
        <v>45607</v>
      </c>
      <c r="V275" s="152"/>
      <c r="W275" s="2">
        <f>VLOOKUP(Table1[[#This Row],[Status]],Auxiliar!$B$16:$D$24,3,0)*Table1[[#This Row],[Estimação (horas)]]</f>
        <v>0.5</v>
      </c>
      <c r="X275" s="2"/>
    </row>
    <row r="276" spans="2:24" ht="17.7" hidden="1" customHeight="1">
      <c r="B276" s="2" t="s">
        <v>26</v>
      </c>
      <c r="C276" s="2" t="s">
        <v>54</v>
      </c>
      <c r="D276" s="2" t="s">
        <v>124</v>
      </c>
      <c r="E276" s="2" t="s">
        <v>38</v>
      </c>
      <c r="F276" s="2" t="s">
        <v>123</v>
      </c>
      <c r="G276" s="2" t="s">
        <v>164</v>
      </c>
      <c r="H276" s="57" t="str">
        <f>Table1[[#This Row],[Tabela]]&amp;Table1[[#This Row],[Campo]]</f>
        <v>PROPERTY_ENERGY_CERTIFICATEPRIMARY_ENERGY_REQ_VALUE</v>
      </c>
      <c r="I276" s="2" t="s">
        <v>619</v>
      </c>
      <c r="J276" s="43">
        <f>VLOOKUP(Table1[[#This Row],[Status]],Auxiliar!$B$16:$C$24,2,0)</f>
        <v>7</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v>45562</v>
      </c>
      <c r="U276" s="152">
        <v>45607</v>
      </c>
      <c r="V276" s="152"/>
      <c r="W276" s="2">
        <f>VLOOKUP(Table1[[#This Row],[Status]],Auxiliar!$B$16:$D$24,3,0)*Table1[[#This Row],[Estimação (horas)]]</f>
        <v>0.5</v>
      </c>
      <c r="X276" s="2"/>
    </row>
    <row r="277" spans="2:24" ht="17.7"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619</v>
      </c>
      <c r="J277" s="43">
        <f>VLOOKUP(Table1[[#This Row],[Status]],Auxiliar!$B$16:$C$24,2,0)</f>
        <v>7</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v>45562</v>
      </c>
      <c r="U277" s="152">
        <v>45607</v>
      </c>
      <c r="V277" s="152"/>
      <c r="W277" s="2">
        <f>VLOOKUP(Table1[[#This Row],[Status]],Auxiliar!$B$16:$D$24,3,0)*Table1[[#This Row],[Estimação (horas)]]</f>
        <v>2.5000000000000001E-2</v>
      </c>
      <c r="X277" s="2"/>
    </row>
    <row r="278" spans="2:24" ht="17.7" hidden="1" customHeight="1">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97</v>
      </c>
      <c r="H323" s="57" t="str">
        <f>Table1[[#This Row],[Tabela]]&amp;Table1[[#This Row],[Campo]]</f>
        <v>PROPERTY_ENERGY_CERTIFICATENET_FLOOR_AREA</v>
      </c>
      <c r="I323" s="2" t="s">
        <v>619</v>
      </c>
      <c r="J323" s="43">
        <f>VLOOKUP(Table1[[#This Row],[Status]],Auxiliar!$B$16:$C$24,2,0)</f>
        <v>7</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v>45562</v>
      </c>
      <c r="U323" s="152">
        <v>45607</v>
      </c>
      <c r="V323" s="152"/>
      <c r="W323" s="2">
        <f>VLOOKUP(Table1[[#This Row],[Status]],Auxiliar!$B$16:$D$24,3,0)*Table1[[#This Row],[Estimação (horas)]]</f>
        <v>0.5</v>
      </c>
      <c r="X323" s="2"/>
    </row>
    <row r="324" spans="2:24" ht="17.7" hidden="1" customHeight="1">
      <c r="B324" s="2" t="s">
        <v>26</v>
      </c>
      <c r="C324" s="2" t="s">
        <v>54</v>
      </c>
      <c r="D324" s="2" t="s">
        <v>124</v>
      </c>
      <c r="E324" s="2" t="s">
        <v>38</v>
      </c>
      <c r="F324" s="2" t="s">
        <v>123</v>
      </c>
      <c r="G324" s="2" t="s">
        <v>97</v>
      </c>
      <c r="H324" s="57" t="str">
        <f>Table1[[#This Row],[Tabela]]&amp;Table1[[#This Row],[Campo]]</f>
        <v>PROPERTY_ENERGY_CERTIFICATENET_FLOOR_AREA</v>
      </c>
      <c r="I324" s="2" t="s">
        <v>619</v>
      </c>
      <c r="J324" s="43">
        <f>VLOOKUP(Table1[[#This Row],[Status]],Auxiliar!$B$16:$C$24,2,0)</f>
        <v>7</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v>45562</v>
      </c>
      <c r="U324" s="152">
        <v>45607</v>
      </c>
      <c r="V324" s="152"/>
      <c r="W324" s="2">
        <f>VLOOKUP(Table1[[#This Row],[Status]],Auxiliar!$B$16:$D$24,3,0)*Table1[[#This Row],[Estimação (horas)]]</f>
        <v>0.5</v>
      </c>
      <c r="X324" s="2"/>
    </row>
    <row r="325" spans="2:24" ht="17.7" hidden="1" customHeight="1">
      <c r="B325" s="2" t="s">
        <v>26</v>
      </c>
      <c r="C325" s="2" t="s">
        <v>54</v>
      </c>
      <c r="D325" s="2" t="s">
        <v>124</v>
      </c>
      <c r="E325" s="2" t="s">
        <v>38</v>
      </c>
      <c r="F325" s="2" t="s">
        <v>123</v>
      </c>
      <c r="G325" s="2" t="s">
        <v>97</v>
      </c>
      <c r="H325" s="57" t="str">
        <f>Table1[[#This Row],[Tabela]]&amp;Table1[[#This Row],[Campo]]</f>
        <v>PROPERTY_ENERGY_CERTIFICATENET_FLOOR_AREA</v>
      </c>
      <c r="I325" s="2" t="s">
        <v>619</v>
      </c>
      <c r="J325" s="43">
        <f>VLOOKUP(Table1[[#This Row],[Status]],Auxiliar!$B$16:$C$24,2,0)</f>
        <v>7</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v>45562</v>
      </c>
      <c r="U325" s="152">
        <v>45607</v>
      </c>
      <c r="V325" s="152"/>
      <c r="W325" s="2">
        <f>VLOOKUP(Table1[[#This Row],[Status]],Auxiliar!$B$16:$D$24,3,0)*Table1[[#This Row],[Estimação (horas)]]</f>
        <v>2.5000000000000001E-2</v>
      </c>
      <c r="X325" s="2"/>
    </row>
    <row r="326" spans="2:24" ht="17.7" hidden="1" customHeight="1">
      <c r="B326" s="2" t="s">
        <v>26</v>
      </c>
      <c r="C326" s="2" t="s">
        <v>54</v>
      </c>
      <c r="D326" s="2" t="s">
        <v>124</v>
      </c>
      <c r="E326" s="2" t="s">
        <v>38</v>
      </c>
      <c r="F326" s="2" t="s">
        <v>123</v>
      </c>
      <c r="G326" s="2" t="s">
        <v>98</v>
      </c>
      <c r="H326" s="57" t="str">
        <f>Table1[[#This Row],[Tabela]]&amp;Table1[[#This Row],[Campo]]</f>
        <v>PROPERTY_ENERGY_CERTIFICATECADASTRAL_REGISTER_CODE</v>
      </c>
      <c r="I326" s="2" t="s">
        <v>619</v>
      </c>
      <c r="J326" s="43">
        <f>VLOOKUP(Table1[[#This Row],[Status]],Auxiliar!$B$16:$C$24,2,0)</f>
        <v>7</v>
      </c>
      <c r="K326" s="2" t="s">
        <v>1266</v>
      </c>
      <c r="L326" s="29" t="s">
        <v>1264</v>
      </c>
      <c r="M326" s="21" t="s">
        <v>1273</v>
      </c>
      <c r="N326" s="48">
        <v>45485</v>
      </c>
      <c r="O326" s="21">
        <f>INDEX(Auxiliar!$D$5:$F$13,MATCH(Table1[[#This Row],[Tipologia_Testes]],Auxiliar!$B$5:$B$13,0),MATCH(Table1[[#This Row],[Complexidade]],Auxiliar!$D$4:$F$4,0))</f>
        <v>2</v>
      </c>
      <c r="P326" s="2" t="s">
        <v>1290</v>
      </c>
      <c r="Q326" s="2"/>
      <c r="R326" s="152">
        <v>45261</v>
      </c>
      <c r="S326" s="152"/>
      <c r="T326" s="152">
        <v>45562</v>
      </c>
      <c r="U326" s="152">
        <v>45607</v>
      </c>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98</v>
      </c>
      <c r="H327" s="57" t="str">
        <f>Table1[[#This Row],[Tabela]]&amp;Table1[[#This Row],[Campo]]</f>
        <v>PROPERTY_ENERGY_CERTIFICATECADASTRAL_REGISTER_CODE</v>
      </c>
      <c r="I327" s="2" t="s">
        <v>619</v>
      </c>
      <c r="J327" s="43">
        <f>VLOOKUP(Table1[[#This Row],[Status]],Auxiliar!$B$16:$C$24,2,0)</f>
        <v>7</v>
      </c>
      <c r="K327" s="2" t="s">
        <v>1267</v>
      </c>
      <c r="L327" s="29" t="s">
        <v>1264</v>
      </c>
      <c r="M327" s="21" t="s">
        <v>1273</v>
      </c>
      <c r="N327" s="48">
        <v>45485</v>
      </c>
      <c r="O327" s="21">
        <f>INDEX(Auxiliar!$D$5:$F$13,MATCH(Table1[[#This Row],[Tipologia_Testes]],Auxiliar!$B$5:$B$13,0),MATCH(Table1[[#This Row],[Complexidade]],Auxiliar!$D$4:$F$4,0))</f>
        <v>2</v>
      </c>
      <c r="P327" s="2" t="s">
        <v>1290</v>
      </c>
      <c r="Q327" s="2"/>
      <c r="R327" s="152"/>
      <c r="S327" s="152"/>
      <c r="T327" s="152">
        <v>45562</v>
      </c>
      <c r="U327" s="152">
        <v>45607</v>
      </c>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619</v>
      </c>
      <c r="J328" s="43">
        <f>VLOOKUP(Table1[[#This Row],[Status]],Auxiliar!$B$16:$C$24,2,0)</f>
        <v>7</v>
      </c>
      <c r="K328" s="2" t="s">
        <v>1269</v>
      </c>
      <c r="L328" s="29" t="s">
        <v>1264</v>
      </c>
      <c r="M328" s="21" t="s">
        <v>1273</v>
      </c>
      <c r="N328" s="48">
        <v>45485</v>
      </c>
      <c r="O328" s="21">
        <f>INDEX(Auxiliar!$D$5:$F$13,MATCH(Table1[[#This Row],[Tipologia_Testes]],Auxiliar!$B$5:$B$13,0),MATCH(Table1[[#This Row],[Complexidade]],Auxiliar!$D$4:$F$4,0))</f>
        <v>0.1</v>
      </c>
      <c r="P328" s="2" t="s">
        <v>1290</v>
      </c>
      <c r="Q328" s="2"/>
      <c r="R328" s="152"/>
      <c r="S328" s="152"/>
      <c r="T328" s="152">
        <v>45562</v>
      </c>
      <c r="U328" s="152">
        <v>45607</v>
      </c>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101</v>
      </c>
      <c r="H329" s="57" t="str">
        <f>Table1[[#This Row],[Tabela]]&amp;Table1[[#This Row],[Campo]]</f>
        <v>PROPERTY_ENERGY_CERTIFICATEDISTRICT_MUNICIP_PARISH_CODE</v>
      </c>
      <c r="I329" s="2" t="s">
        <v>619</v>
      </c>
      <c r="J329" s="43">
        <f>VLOOKUP(Table1[[#This Row],[Status]],Auxiliar!$B$16:$C$24,2,0)</f>
        <v>7</v>
      </c>
      <c r="K329" s="2" t="s">
        <v>1266</v>
      </c>
      <c r="L329" s="29" t="s">
        <v>1264</v>
      </c>
      <c r="M329" s="21" t="s">
        <v>1273</v>
      </c>
      <c r="N329" s="48">
        <v>45485</v>
      </c>
      <c r="O329" s="21">
        <f>INDEX(Auxiliar!$D$5:$F$13,MATCH(Table1[[#This Row],[Tipologia_Testes]],Auxiliar!$B$5:$B$13,0),MATCH(Table1[[#This Row],[Complexidade]],Auxiliar!$D$4:$F$4,0))</f>
        <v>2</v>
      </c>
      <c r="P329" s="2" t="s">
        <v>1290</v>
      </c>
      <c r="Q329" s="2"/>
      <c r="R329" s="152">
        <v>45261</v>
      </c>
      <c r="S329" s="152"/>
      <c r="T329" s="152">
        <v>45562</v>
      </c>
      <c r="U329" s="152">
        <v>45607</v>
      </c>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619</v>
      </c>
      <c r="J330" s="43">
        <f>VLOOKUP(Table1[[#This Row],[Status]],Auxiliar!$B$16:$C$24,2,0)</f>
        <v>7</v>
      </c>
      <c r="K330" s="2" t="s">
        <v>1267</v>
      </c>
      <c r="L330" s="29" t="s">
        <v>1264</v>
      </c>
      <c r="M330" s="21" t="s">
        <v>1273</v>
      </c>
      <c r="N330" s="48">
        <v>45485</v>
      </c>
      <c r="O330" s="21">
        <f>INDEX(Auxiliar!$D$5:$F$13,MATCH(Table1[[#This Row],[Tipologia_Testes]],Auxiliar!$B$5:$B$13,0),MATCH(Table1[[#This Row],[Complexidade]],Auxiliar!$D$4:$F$4,0))</f>
        <v>2</v>
      </c>
      <c r="P330" s="2" t="s">
        <v>1290</v>
      </c>
      <c r="Q330" s="2"/>
      <c r="R330" s="152"/>
      <c r="S330" s="152"/>
      <c r="T330" s="152">
        <v>45562</v>
      </c>
      <c r="U330" s="152">
        <v>45607</v>
      </c>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619</v>
      </c>
      <c r="J331" s="43">
        <f>VLOOKUP(Table1[[#This Row],[Status]],Auxiliar!$B$16:$C$24,2,0)</f>
        <v>7</v>
      </c>
      <c r="K331" s="2" t="s">
        <v>1269</v>
      </c>
      <c r="L331" s="29" t="s">
        <v>1264</v>
      </c>
      <c r="M331" s="21" t="s">
        <v>1273</v>
      </c>
      <c r="N331" s="48">
        <v>45485</v>
      </c>
      <c r="O331" s="21">
        <f>INDEX(Auxiliar!$D$5:$F$13,MATCH(Table1[[#This Row],[Tipologia_Testes]],Auxiliar!$B$5:$B$13,0),MATCH(Table1[[#This Row],[Complexidade]],Auxiliar!$D$4:$F$4,0))</f>
        <v>0.1</v>
      </c>
      <c r="P331" s="2" t="s">
        <v>1290</v>
      </c>
      <c r="Q331" s="2"/>
      <c r="R331" s="152"/>
      <c r="S331" s="152"/>
      <c r="T331" s="152">
        <v>45562</v>
      </c>
      <c r="U331" s="152">
        <v>45607</v>
      </c>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102</v>
      </c>
      <c r="H332" s="57" t="str">
        <f>Table1[[#This Row],[Tabela]]&amp;Table1[[#This Row],[Campo]]</f>
        <v>PROPERTY_ENERGY_CERTIFICATEPROPERTY_PURPOSE_CODE</v>
      </c>
      <c r="I332" s="2" t="s">
        <v>619</v>
      </c>
      <c r="J332" s="43">
        <f>VLOOKUP(Table1[[#This Row],[Status]],Auxiliar!$B$16:$C$24,2,0)</f>
        <v>7</v>
      </c>
      <c r="K332" s="2" t="s">
        <v>1266</v>
      </c>
      <c r="L332" s="29" t="s">
        <v>1264</v>
      </c>
      <c r="M332" s="21" t="s">
        <v>1273</v>
      </c>
      <c r="N332" s="48">
        <v>45485</v>
      </c>
      <c r="O332" s="21">
        <f>INDEX(Auxiliar!$D$5:$F$13,MATCH(Table1[[#This Row],[Tipologia_Testes]],Auxiliar!$B$5:$B$13,0),MATCH(Table1[[#This Row],[Complexidade]],Auxiliar!$D$4:$F$4,0))</f>
        <v>2</v>
      </c>
      <c r="P332" s="2" t="s">
        <v>1290</v>
      </c>
      <c r="Q332" s="2"/>
      <c r="R332" s="152">
        <v>45261</v>
      </c>
      <c r="S332" s="152"/>
      <c r="T332" s="152">
        <v>45562</v>
      </c>
      <c r="U332" s="152">
        <v>45607</v>
      </c>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102</v>
      </c>
      <c r="H333" s="57" t="str">
        <f>Table1[[#This Row],[Tabela]]&amp;Table1[[#This Row],[Campo]]</f>
        <v>PROPERTY_ENERGY_CERTIFICATEPROPERTY_PURPOSE_CODE</v>
      </c>
      <c r="I333" s="2" t="s">
        <v>619</v>
      </c>
      <c r="J333" s="43">
        <f>VLOOKUP(Table1[[#This Row],[Status]],Auxiliar!$B$16:$C$24,2,0)</f>
        <v>7</v>
      </c>
      <c r="K333" s="2" t="s">
        <v>1267</v>
      </c>
      <c r="L333" s="29" t="s">
        <v>1264</v>
      </c>
      <c r="M333" s="21" t="s">
        <v>1273</v>
      </c>
      <c r="N333" s="48">
        <v>45485</v>
      </c>
      <c r="O333" s="21">
        <f>INDEX(Auxiliar!$D$5:$F$13,MATCH(Table1[[#This Row],[Tipologia_Testes]],Auxiliar!$B$5:$B$13,0),MATCH(Table1[[#This Row],[Complexidade]],Auxiliar!$D$4:$F$4,0))</f>
        <v>2</v>
      </c>
      <c r="P333" s="2" t="s">
        <v>1290</v>
      </c>
      <c r="Q333" s="2"/>
      <c r="R333" s="152"/>
      <c r="S333" s="152"/>
      <c r="T333" s="152">
        <v>45562</v>
      </c>
      <c r="U333" s="152">
        <v>45607</v>
      </c>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619</v>
      </c>
      <c r="J334" s="43">
        <f>VLOOKUP(Table1[[#This Row],[Status]],Auxiliar!$B$16:$C$24,2,0)</f>
        <v>7</v>
      </c>
      <c r="K334" s="2" t="s">
        <v>1269</v>
      </c>
      <c r="L334" s="29" t="s">
        <v>1264</v>
      </c>
      <c r="M334" s="21" t="s">
        <v>1273</v>
      </c>
      <c r="N334" s="48">
        <v>45485</v>
      </c>
      <c r="O334" s="21">
        <f>INDEX(Auxiliar!$D$5:$F$13,MATCH(Table1[[#This Row],[Tipologia_Testes]],Auxiliar!$B$5:$B$13,0),MATCH(Table1[[#This Row],[Complexidade]],Auxiliar!$D$4:$F$4,0))</f>
        <v>0.1</v>
      </c>
      <c r="P334" s="2" t="s">
        <v>1290</v>
      </c>
      <c r="Q334" s="2"/>
      <c r="R334" s="152"/>
      <c r="S334" s="152"/>
      <c r="T334" s="152">
        <v>45562</v>
      </c>
      <c r="U334" s="152">
        <v>45607</v>
      </c>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104</v>
      </c>
      <c r="H335" s="57" t="str">
        <f>Table1[[#This Row],[Tabela]]&amp;Table1[[#This Row],[Campo]]</f>
        <v>PROPERTY_ENERGY_CERTIFICATEADDRESS_CODE</v>
      </c>
      <c r="I335" s="2" t="s">
        <v>619</v>
      </c>
      <c r="J335" s="43">
        <f>VLOOKUP(Table1[[#This Row],[Status]],Auxiliar!$B$16:$C$24,2,0)</f>
        <v>7</v>
      </c>
      <c r="K335" s="2" t="s">
        <v>1266</v>
      </c>
      <c r="L335" s="29" t="s">
        <v>1264</v>
      </c>
      <c r="M335" s="21" t="s">
        <v>1273</v>
      </c>
      <c r="N335" s="48">
        <v>45485</v>
      </c>
      <c r="O335" s="21">
        <f>INDEX(Auxiliar!$D$5:$F$13,MATCH(Table1[[#This Row],[Tipologia_Testes]],Auxiliar!$B$5:$B$13,0),MATCH(Table1[[#This Row],[Complexidade]],Auxiliar!$D$4:$F$4,0))</f>
        <v>2</v>
      </c>
      <c r="P335" s="2" t="s">
        <v>1290</v>
      </c>
      <c r="Q335" s="2"/>
      <c r="R335" s="152">
        <v>45261</v>
      </c>
      <c r="S335" s="152"/>
      <c r="T335" s="152">
        <v>45562</v>
      </c>
      <c r="U335" s="152">
        <v>45607</v>
      </c>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104</v>
      </c>
      <c r="H336" s="57" t="str">
        <f>Table1[[#This Row],[Tabela]]&amp;Table1[[#This Row],[Campo]]</f>
        <v>PROPERTY_ENERGY_CERTIFICATEADDRESS_CODE</v>
      </c>
      <c r="I336" s="2" t="s">
        <v>619</v>
      </c>
      <c r="J336" s="43">
        <f>VLOOKUP(Table1[[#This Row],[Status]],Auxiliar!$B$16:$C$24,2,0)</f>
        <v>7</v>
      </c>
      <c r="K336" s="2" t="s">
        <v>1267</v>
      </c>
      <c r="L336" s="29" t="s">
        <v>1264</v>
      </c>
      <c r="M336" s="21" t="s">
        <v>1273</v>
      </c>
      <c r="N336" s="48">
        <v>45485</v>
      </c>
      <c r="O336" s="21">
        <f>INDEX(Auxiliar!$D$5:$F$13,MATCH(Table1[[#This Row],[Tipologia_Testes]],Auxiliar!$B$5:$B$13,0),MATCH(Table1[[#This Row],[Complexidade]],Auxiliar!$D$4:$F$4,0))</f>
        <v>2</v>
      </c>
      <c r="P336" s="2" t="s">
        <v>1290</v>
      </c>
      <c r="Q336" s="2"/>
      <c r="R336" s="152"/>
      <c r="S336" s="152"/>
      <c r="T336" s="152">
        <v>45562</v>
      </c>
      <c r="U336" s="152">
        <v>45607</v>
      </c>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104</v>
      </c>
      <c r="H337" s="57" t="str">
        <f>Table1[[#This Row],[Tabela]]&amp;Table1[[#This Row],[Campo]]</f>
        <v>PROPERTY_ENERGY_CERTIFICATEADDRESS_CODE</v>
      </c>
      <c r="I337" s="2" t="s">
        <v>619</v>
      </c>
      <c r="J337" s="43">
        <f>VLOOKUP(Table1[[#This Row],[Status]],Auxiliar!$B$16:$C$24,2,0)</f>
        <v>7</v>
      </c>
      <c r="K337" s="2" t="s">
        <v>1269</v>
      </c>
      <c r="L337" s="29" t="s">
        <v>1264</v>
      </c>
      <c r="M337" s="21" t="s">
        <v>1273</v>
      </c>
      <c r="N337" s="48">
        <v>45485</v>
      </c>
      <c r="O337" s="21">
        <f>INDEX(Auxiliar!$D$5:$F$13,MATCH(Table1[[#This Row],[Tipologia_Testes]],Auxiliar!$B$5:$B$13,0),MATCH(Table1[[#This Row],[Complexidade]],Auxiliar!$D$4:$F$4,0))</f>
        <v>0.1</v>
      </c>
      <c r="P337" s="2" t="s">
        <v>1290</v>
      </c>
      <c r="Q337" s="2"/>
      <c r="R337" s="152"/>
      <c r="S337" s="152"/>
      <c r="T337" s="152">
        <v>45562</v>
      </c>
      <c r="U337" s="152">
        <v>45607</v>
      </c>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111</v>
      </c>
      <c r="H338" s="57" t="str">
        <f>Table1[[#This Row],[Tabela]]&amp;Table1[[#This Row],[Campo]]</f>
        <v>PROPERTY_ENERGY_CERTIFICATEFLOOR_NUMBER</v>
      </c>
      <c r="I338" s="2" t="s">
        <v>619</v>
      </c>
      <c r="J338" s="43">
        <f>VLOOKUP(Table1[[#This Row],[Status]],Auxiliar!$B$16:$C$24,2,0)</f>
        <v>7</v>
      </c>
      <c r="K338" s="2" t="s">
        <v>1266</v>
      </c>
      <c r="L338" s="29" t="s">
        <v>1264</v>
      </c>
      <c r="M338" s="21" t="s">
        <v>1273</v>
      </c>
      <c r="N338" s="48">
        <v>45485</v>
      </c>
      <c r="O338" s="21">
        <f>INDEX(Auxiliar!$D$5:$F$13,MATCH(Table1[[#This Row],[Tipologia_Testes]],Auxiliar!$B$5:$B$13,0),MATCH(Table1[[#This Row],[Complexidade]],Auxiliar!$D$4:$F$4,0))</f>
        <v>2</v>
      </c>
      <c r="P338" s="2" t="s">
        <v>1290</v>
      </c>
      <c r="Q338" s="2"/>
      <c r="R338" s="152">
        <v>45261</v>
      </c>
      <c r="S338" s="152"/>
      <c r="T338" s="152">
        <v>45562</v>
      </c>
      <c r="U338" s="152">
        <v>45607</v>
      </c>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111</v>
      </c>
      <c r="H339" s="57" t="str">
        <f>Table1[[#This Row],[Tabela]]&amp;Table1[[#This Row],[Campo]]</f>
        <v>PROPERTY_ENERGY_CERTIFICATEFLOOR_NUMBER</v>
      </c>
      <c r="I339" s="2" t="s">
        <v>619</v>
      </c>
      <c r="J339" s="43">
        <f>VLOOKUP(Table1[[#This Row],[Status]],Auxiliar!$B$16:$C$24,2,0)</f>
        <v>7</v>
      </c>
      <c r="K339" s="2" t="s">
        <v>1267</v>
      </c>
      <c r="L339" s="29" t="s">
        <v>1264</v>
      </c>
      <c r="M339" s="21" t="s">
        <v>1273</v>
      </c>
      <c r="N339" s="48">
        <v>45485</v>
      </c>
      <c r="O339" s="21">
        <f>INDEX(Auxiliar!$D$5:$F$13,MATCH(Table1[[#This Row],[Tipologia_Testes]],Auxiliar!$B$5:$B$13,0),MATCH(Table1[[#This Row],[Complexidade]],Auxiliar!$D$4:$F$4,0))</f>
        <v>2</v>
      </c>
      <c r="P339" s="2" t="s">
        <v>1290</v>
      </c>
      <c r="Q339" s="2"/>
      <c r="R339" s="152"/>
      <c r="S339" s="152"/>
      <c r="T339" s="152">
        <v>45562</v>
      </c>
      <c r="U339" s="152">
        <v>45607</v>
      </c>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111</v>
      </c>
      <c r="H340" s="57" t="str">
        <f>Table1[[#This Row],[Tabela]]&amp;Table1[[#This Row],[Campo]]</f>
        <v>PROPERTY_ENERGY_CERTIFICATEFLOOR_NUMBER</v>
      </c>
      <c r="I340" s="2" t="s">
        <v>619</v>
      </c>
      <c r="J340" s="43">
        <f>VLOOKUP(Table1[[#This Row],[Status]],Auxiliar!$B$16:$C$24,2,0)</f>
        <v>7</v>
      </c>
      <c r="K340" s="2" t="s">
        <v>1269</v>
      </c>
      <c r="L340" s="29" t="s">
        <v>1264</v>
      </c>
      <c r="M340" s="21" t="s">
        <v>1273</v>
      </c>
      <c r="N340" s="48">
        <v>45485</v>
      </c>
      <c r="O340" s="21">
        <f>INDEX(Auxiliar!$D$5:$F$13,MATCH(Table1[[#This Row],[Tipologia_Testes]],Auxiliar!$B$5:$B$13,0),MATCH(Table1[[#This Row],[Complexidade]],Auxiliar!$D$4:$F$4,0))</f>
        <v>0.1</v>
      </c>
      <c r="P340" s="2" t="s">
        <v>1290</v>
      </c>
      <c r="Q340" s="2"/>
      <c r="R340" s="152"/>
      <c r="S340" s="152"/>
      <c r="T340" s="152">
        <v>45562</v>
      </c>
      <c r="U340" s="152">
        <v>45607</v>
      </c>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112</v>
      </c>
      <c r="H341" s="57" t="str">
        <f>Table1[[#This Row],[Tabela]]&amp;Table1[[#This Row],[Campo]]</f>
        <v>PROPERTY_ENERGY_CERTIFICATELOCALITY</v>
      </c>
      <c r="I341" s="2" t="s">
        <v>619</v>
      </c>
      <c r="J341" s="43">
        <f>VLOOKUP(Table1[[#This Row],[Status]],Auxiliar!$B$16:$C$24,2,0)</f>
        <v>7</v>
      </c>
      <c r="K341" s="2" t="s">
        <v>1266</v>
      </c>
      <c r="L341" s="29" t="s">
        <v>1264</v>
      </c>
      <c r="M341" s="21" t="s">
        <v>1273</v>
      </c>
      <c r="N341" s="48">
        <v>45485</v>
      </c>
      <c r="O341" s="21">
        <f>INDEX(Auxiliar!$D$5:$F$13,MATCH(Table1[[#This Row],[Tipologia_Testes]],Auxiliar!$B$5:$B$13,0),MATCH(Table1[[#This Row],[Complexidade]],Auxiliar!$D$4:$F$4,0))</f>
        <v>2</v>
      </c>
      <c r="P341" s="2" t="s">
        <v>1290</v>
      </c>
      <c r="Q341" s="2"/>
      <c r="R341" s="152">
        <v>45261</v>
      </c>
      <c r="S341" s="152"/>
      <c r="T341" s="152">
        <v>45562</v>
      </c>
      <c r="U341" s="152">
        <v>45607</v>
      </c>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112</v>
      </c>
      <c r="H342" s="57" t="str">
        <f>Table1[[#This Row],[Tabela]]&amp;Table1[[#This Row],[Campo]]</f>
        <v>PROPERTY_ENERGY_CERTIFICATELOCALITY</v>
      </c>
      <c r="I342" s="2" t="s">
        <v>619</v>
      </c>
      <c r="J342" s="43">
        <f>VLOOKUP(Table1[[#This Row],[Status]],Auxiliar!$B$16:$C$24,2,0)</f>
        <v>7</v>
      </c>
      <c r="K342" s="2" t="s">
        <v>1267</v>
      </c>
      <c r="L342" s="29" t="s">
        <v>1264</v>
      </c>
      <c r="M342" s="21" t="s">
        <v>1273</v>
      </c>
      <c r="N342" s="48">
        <v>45485</v>
      </c>
      <c r="O342" s="21">
        <f>INDEX(Auxiliar!$D$5:$F$13,MATCH(Table1[[#This Row],[Tipologia_Testes]],Auxiliar!$B$5:$B$13,0),MATCH(Table1[[#This Row],[Complexidade]],Auxiliar!$D$4:$F$4,0))</f>
        <v>2</v>
      </c>
      <c r="P342" s="2" t="s">
        <v>1290</v>
      </c>
      <c r="Q342" s="2"/>
      <c r="R342" s="152"/>
      <c r="S342" s="152"/>
      <c r="T342" s="152">
        <v>45562</v>
      </c>
      <c r="U342" s="152">
        <v>45607</v>
      </c>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112</v>
      </c>
      <c r="H343" s="57" t="str">
        <f>Table1[[#This Row],[Tabela]]&amp;Table1[[#This Row],[Campo]]</f>
        <v>PROPERTY_ENERGY_CERTIFICATELOCALITY</v>
      </c>
      <c r="I343" s="2" t="s">
        <v>619</v>
      </c>
      <c r="J343" s="43">
        <f>VLOOKUP(Table1[[#This Row],[Status]],Auxiliar!$B$16:$C$24,2,0)</f>
        <v>7</v>
      </c>
      <c r="K343" s="2" t="s">
        <v>1269</v>
      </c>
      <c r="L343" s="29" t="s">
        <v>1264</v>
      </c>
      <c r="M343" s="21" t="s">
        <v>1273</v>
      </c>
      <c r="N343" s="48">
        <v>45485</v>
      </c>
      <c r="O343" s="21">
        <f>INDEX(Auxiliar!$D$5:$F$13,MATCH(Table1[[#This Row],[Tipologia_Testes]],Auxiliar!$B$5:$B$13,0),MATCH(Table1[[#This Row],[Complexidade]],Auxiliar!$D$4:$F$4,0))</f>
        <v>0.1</v>
      </c>
      <c r="P343" s="2" t="s">
        <v>1290</v>
      </c>
      <c r="Q343" s="2"/>
      <c r="R343" s="152"/>
      <c r="S343" s="152"/>
      <c r="T343" s="152">
        <v>45562</v>
      </c>
      <c r="U343" s="152">
        <v>45607</v>
      </c>
      <c r="V343" s="152"/>
      <c r="W343" s="2">
        <f>VLOOKUP(Table1[[#This Row],[Status]],Auxiliar!$B$16:$D$24,3,0)*Table1[[#This Row],[Estimação (horas)]]</f>
        <v>2.5000000000000001E-2</v>
      </c>
      <c r="X343" s="2"/>
    </row>
    <row r="344" spans="2:24" ht="69.599999999999994" hidden="1" customHeight="1">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7" hidden="1" customHeight="1">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7" hidden="1"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7"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7" hidden="1" customHeight="1">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7" hidden="1" customHeight="1">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hidden="1" customHeight="1">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7" hidden="1" customHeight="1">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7" hidden="1" customHeight="1">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hidden="1"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hidden="1"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hidden="1" customHeight="1">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7" hidden="1" customHeight="1">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7" hidden="1"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7"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7" hidden="1" customHeight="1">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7" hidden="1" customHeight="1">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hidden="1" customHeight="1">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7" hidden="1" customHeight="1">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7" hidden="1" customHeight="1">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hidden="1"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hidden="1" customHeight="1">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hidden="1" customHeight="1">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7" hidden="1" customHeight="1">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7"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7" hidden="1" customHeight="1">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7" hidden="1"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7"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7" hidden="1"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7"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7" hidden="1" customHeight="1">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7"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7" hidden="1" customHeight="1">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50000000000003" hidden="1" customHeight="1">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7" hidden="1" customHeight="1">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7"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7" hidden="1" customHeight="1">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hidden="1" customHeight="1">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hidden="1" customHeight="1">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2" hidden="1"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2"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7" hidden="1" customHeight="1">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7" hidden="1"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7"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hidden="1" customHeight="1">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hidden="1"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hidden="1" customHeight="1">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7" hidden="1" customHeight="1">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7" hidden="1"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7"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2" hidden="1" customHeight="1">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2" hidden="1"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2"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2" hidden="1" customHeight="1">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95" hidden="1" customHeight="1">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7" hidden="1" customHeight="1">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hidden="1"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hidden="1" customHeight="1">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7" hidden="1"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7"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hidden="1"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7" hidden="1"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7"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hidden="1"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7" hidden="1" customHeight="1">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7" hidden="1" customHeight="1">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hidden="1"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hidden="1" customHeight="1">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7" hidden="1"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7"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7" hidden="1" customHeight="1">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hidden="1"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hidden="1" customHeight="1">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hidden="1"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hidden="1" customHeight="1">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7" hidden="1" customHeight="1">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hidden="1"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hidden="1" customHeight="1">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7" hidden="1" customHeight="1">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hidden="1"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hidden="1" customHeight="1">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hidden="1"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hidden="1" customHeight="1">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9999999999999" hidden="1"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9999999999999"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2" hidden="1" customHeight="1">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2" hidden="1"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2"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7" hidden="1" customHeight="1">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7" hidden="1"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7"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hidden="1"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hidden="1" customHeight="1">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hidden="1"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hidden="1"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7" hidden="1" customHeight="1">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hidden="1"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hidden="1" customHeight="1">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hidden="1"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hidden="1" customHeight="1">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hidden="1"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hidden="1" customHeight="1">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7" hidden="1"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hidden="1" customHeight="1">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hidden="1"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hidden="1" customHeight="1">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hidden="1"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hidden="1" customHeight="1">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hidden="1"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hidden="1" customHeight="1">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hidden="1"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hidden="1" customHeight="1">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hidden="1"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hidden="1" customHeight="1">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hidden="1"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hidden="1" customHeight="1">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hidden="1"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hidden="1" customHeight="1">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7" hidden="1"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7" hidden="1" customHeight="1">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7" hidden="1"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7" hidden="1" customHeight="1">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hidden="1" customHeight="1">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hidden="1"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7" hidden="1" customHeight="1">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hidden="1"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hidden="1" customHeight="1">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hidden="1"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hidden="1" customHeight="1">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hidden="1"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hidden="1" customHeight="1">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hidden="1"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hidden="1" customHeight="1">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hidden="1"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hidden="1" customHeight="1">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hidden="1"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hidden="1" customHeight="1">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hidden="1"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hidden="1" customHeight="1">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7" hidden="1"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7" hidden="1" customHeight="1">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7" hidden="1"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7" hidden="1"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7" hidden="1" customHeight="1">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hidden="1"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hidden="1" customHeight="1">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7" hidden="1"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7" hidden="1" customHeight="1">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hidden="1" customHeight="1">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hidden="1"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7" hidden="1" customHeight="1">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hidden="1"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hidden="1" customHeight="1">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hidden="1"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7" hidden="1" customHeight="1">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7" hidden="1" customHeight="1">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hidden="1"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7" hidden="1" customHeight="1">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7" hidden="1"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7" hidden="1"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7" hidden="1" customHeight="1">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hidden="1"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7" hidden="1"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7" hidden="1"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hidden="1"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2" hidden="1"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7" hidden="1"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7" hidden="1"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7" hidden="1" customHeight="1">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7" hidden="1"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7" hidden="1" customHeight="1">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7" hidden="1"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7" hidden="1" customHeight="1">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7" hidden="1"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7" hidden="1" customHeight="1">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7" hidden="1"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7" hidden="1" customHeight="1">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7" hidden="1" customHeight="1">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7" hidden="1" customHeight="1">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7" hidden="1" customHeight="1">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hidden="1" customHeight="1">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7" hidden="1"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hidden="1" customHeight="1">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7" hidden="1"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hidden="1" customHeight="1">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7" hidden="1"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7" hidden="1"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7" hidden="1" customHeight="1">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7" hidden="1"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7" hidden="1" customHeight="1">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7" hidden="1" customHeight="1">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7" hidden="1"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7" hidden="1" customHeight="1">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7" hidden="1"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7" hidden="1" customHeight="1">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7" hidden="1"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7" hidden="1" customHeight="1">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7" hidden="1" customHeight="1">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7" hidden="1"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7" hidden="1" customHeight="1">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7" hidden="1"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7" hidden="1" customHeight="1">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7" hidden="1"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7" hidden="1"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hidden="1" customHeight="1">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hidden="1"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7" hidden="1"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7" hidden="1"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7" hidden="1"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hidden="1" customHeight="1">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hidden="1" customHeight="1">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hidden="1" customHeight="1">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hidden="1" customHeight="1">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7" hidden="1"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7" hidden="1"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hidden="1" customHeight="1">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50000000000003" hidden="1"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50000000000003" hidden="1"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50000000000003" hidden="1" customHeight="1">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hidden="1" customHeight="1">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hidden="1"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hidden="1" customHeight="1">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hidden="1" customHeight="1">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hidden="1"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hidden="1" customHeight="1">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hidden="1" customHeight="1">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hidden="1"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hidden="1" customHeight="1">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hidden="1" customHeight="1">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hidden="1"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hidden="1" customHeight="1">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hidden="1" customHeight="1">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hidden="1"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hidden="1" customHeight="1">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hidden="1"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hidden="1" customHeight="1">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hidden="1"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hidden="1" customHeight="1">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hidden="1"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hidden="1" customHeight="1">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hidden="1"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hidden="1" customHeight="1">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hidden="1" customHeight="1">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hidden="1"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hidden="1" customHeight="1">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hidden="1"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hidden="1" customHeight="1">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hidden="1" customHeight="1">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hidden="1"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hidden="1" customHeight="1">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hidden="1"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hidden="1" customHeight="1">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hidden="1"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hidden="1" customHeight="1">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7" hidden="1" customHeight="1">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7" hidden="1"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hidden="1" customHeight="1">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hidden="1"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hidden="1" customHeight="1">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hidden="1"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hidden="1" customHeight="1">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hidden="1"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hidden="1" customHeight="1">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hidden="1"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hidden="1" customHeight="1">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hidden="1" customHeight="1">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hidden="1"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hidden="1" customHeight="1">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hidden="1"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hidden="1" customHeight="1">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7" hidden="1" customHeight="1">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7" hidden="1"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7" hidden="1" customHeight="1">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7" hidden="1" customHeight="1">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7" hidden="1"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50000000000003" hidden="1" customHeight="1">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45593</v>
      </c>
      <c r="S1083" s="152"/>
      <c r="T1083" s="152">
        <v>45593</v>
      </c>
      <c r="U1083" s="152"/>
      <c r="V1083" s="152"/>
      <c r="W1083" s="2">
        <f>VLOOKUP(Table1[[#This Row],[Status]],Auxiliar!$B$16:$D$24,3,0)*Table1[[#This Row],[Estimação (horas)]]</f>
        <v>0.5</v>
      </c>
      <c r="X1083" s="114"/>
    </row>
    <row r="1084" spans="2:24" ht="17.7" hidden="1" customHeight="1">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7" hidden="1"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45593</v>
      </c>
      <c r="S1085" s="152"/>
      <c r="T1085" s="152">
        <v>45593</v>
      </c>
      <c r="U1085" s="152"/>
      <c r="V1085" s="152"/>
      <c r="W1085" s="2">
        <f>VLOOKUP(Table1[[#This Row],[Status]],Auxiliar!$B$16:$D$24,3,0)*Table1[[#This Row],[Estimação (horas)]]</f>
        <v>2.5000000000000001E-2</v>
      </c>
      <c r="X1085" s="114"/>
    </row>
    <row r="1086" spans="2:24" ht="34.950000000000003" hidden="1" customHeight="1">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7" hidden="1" customHeight="1">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7" hidden="1"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50000000000003" hidden="1" customHeight="1">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45593</v>
      </c>
      <c r="S1089" s="152"/>
      <c r="T1089" s="152">
        <v>45593</v>
      </c>
      <c r="U1089" s="152"/>
      <c r="V1089" s="152"/>
      <c r="W1089" s="2">
        <f>VLOOKUP(Table1[[#This Row],[Status]],Auxiliar!$B$16:$D$24,3,0)*Table1[[#This Row],[Estimação (horas)]]</f>
        <v>0.5</v>
      </c>
      <c r="X1089" s="114"/>
    </row>
    <row r="1090" spans="2:24" ht="17.7" hidden="1" customHeight="1">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7" hidden="1"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45593</v>
      </c>
      <c r="S1091" s="152"/>
      <c r="T1091" s="152">
        <v>45593</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7" hidden="1" customHeight="1">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7" hidden="1"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50000000000003" hidden="1" customHeight="1">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7" hidden="1" customHeight="1">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7" hidden="1"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7" hidden="1" customHeight="1">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7" hidden="1"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7" hidden="1" customHeight="1">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7" hidden="1"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7" hidden="1" customHeight="1">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7" hidden="1"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7" hidden="1" customHeight="1">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7" hidden="1" customHeight="1">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7" hidden="1"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7" hidden="1" customHeight="1">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7" hidden="1" customHeight="1">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7" hidden="1"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7" hidden="1" customHeight="1">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7" hidden="1" customHeight="1">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7" hidden="1"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7" hidden="1" customHeight="1">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7" hidden="1" customHeight="1">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7" hidden="1"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2" hidden="1" customHeight="1">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7" hidden="1" customHeight="1">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7" hidden="1"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2" hidden="1" customHeight="1">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7" hidden="1" customHeight="1">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7" hidden="1"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2" hidden="1" customHeight="1">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7" hidden="1" customHeight="1">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7" hidden="1"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7" hidden="1" customHeight="1">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7" hidden="1" customHeight="1">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7" hidden="1"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7" hidden="1" customHeight="1">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7" hidden="1" customHeight="1">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7" hidden="1"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7" hidden="1" customHeight="1">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7" hidden="1" customHeight="1">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7" hidden="1"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50000000000003" hidden="1" customHeight="1">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7" hidden="1" customHeight="1">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7" hidden="1"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7" hidden="1" customHeight="1">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7" hidden="1"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hidden="1" customHeight="1">
      <c r="B1143" s="41" t="s">
        <v>26</v>
      </c>
      <c r="C1143" s="41" t="s">
        <v>26</v>
      </c>
      <c r="D1143" s="37" t="s">
        <v>478</v>
      </c>
      <c r="E1143" s="42" t="s">
        <v>481</v>
      </c>
      <c r="F1143" s="40" t="s">
        <v>369</v>
      </c>
      <c r="G1143" s="38" t="s">
        <v>481</v>
      </c>
      <c r="H1143" s="60" t="str">
        <f>Table1[[#This Row],[Tabela]]&amp;Table1[[#This Row],[Campo]]</f>
        <v>lt004_protectionflg_fin</v>
      </c>
      <c r="I1143" s="2" t="s">
        <v>619</v>
      </c>
      <c r="J1143" s="45">
        <f>VLOOKUP(Table1[[#This Row],[Status]],Auxiliar!$B$16:$C$24,2,0)</f>
        <v>7</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45593</v>
      </c>
      <c r="S1143" s="152"/>
      <c r="T1143" s="152">
        <v>45593</v>
      </c>
      <c r="U1143" s="152"/>
      <c r="V1143" s="152"/>
      <c r="W1143" s="2">
        <f>VLOOKUP(Table1[[#This Row],[Status]],Auxiliar!$B$16:$D$24,3,0)*Table1[[#This Row],[Estimação (horas)]]</f>
        <v>0.5</v>
      </c>
      <c r="X1143" s="114"/>
    </row>
    <row r="1144" spans="2:24" ht="17.7" hidden="1" customHeight="1">
      <c r="B1144" s="39" t="s">
        <v>26</v>
      </c>
      <c r="C1144" s="39" t="s">
        <v>26</v>
      </c>
      <c r="D1144" s="39" t="s">
        <v>478</v>
      </c>
      <c r="E1144" s="39" t="s">
        <v>481</v>
      </c>
      <c r="F1144" s="39" t="s">
        <v>369</v>
      </c>
      <c r="G1144" s="39" t="s">
        <v>481</v>
      </c>
      <c r="H1144" s="59" t="str">
        <f>Table1[[#This Row],[Tabela]]&amp;Table1[[#This Row],[Campo]]</f>
        <v>lt004_protectionflg_fin</v>
      </c>
      <c r="I1144" s="2" t="s">
        <v>619</v>
      </c>
      <c r="J1144" s="45">
        <f>VLOOKUP(Table1[[#This Row],[Status]],Auxiliar!$B$16:$C$24,2,0)</f>
        <v>7</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7" hidden="1"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45593</v>
      </c>
      <c r="S1145" s="152"/>
      <c r="T1145" s="152">
        <v>45593</v>
      </c>
      <c r="U1145" s="152"/>
      <c r="V1145" s="152"/>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479</v>
      </c>
      <c r="F1146" s="40" t="s">
        <v>369</v>
      </c>
      <c r="G1146" s="38" t="s">
        <v>1379</v>
      </c>
      <c r="H1146" s="60" t="str">
        <f>Table1[[#This Row],[Tabela]]&amp;Table1[[#This Row],[Campo]]</f>
        <v>lt004_protectionflg_exec</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7" hidden="1" customHeight="1">
      <c r="B1147" s="39" t="s">
        <v>26</v>
      </c>
      <c r="C1147" s="39" t="s">
        <v>26</v>
      </c>
      <c r="D1147" s="39" t="s">
        <v>478</v>
      </c>
      <c r="E1147" s="39" t="s">
        <v>479</v>
      </c>
      <c r="F1147" s="39" t="s">
        <v>369</v>
      </c>
      <c r="G1147" s="39" t="s">
        <v>1379</v>
      </c>
      <c r="H1147" s="59" t="str">
        <f>Table1[[#This Row],[Tabela]]&amp;Table1[[#This Row],[Campo]]</f>
        <v>lt004_protectionflg_exec</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7" hidden="1"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0" t="s">
        <v>480</v>
      </c>
      <c r="F1149" s="40" t="s">
        <v>369</v>
      </c>
      <c r="G1149" s="38" t="s">
        <v>480</v>
      </c>
      <c r="H1149" s="60" t="str">
        <f>Table1[[#This Row],[Tabela]]&amp;Table1[[#This Row],[Campo]]</f>
        <v>lt004_protectionflg_col</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7" hidden="1" customHeight="1">
      <c r="B1150" s="39" t="s">
        <v>26</v>
      </c>
      <c r="C1150" s="39" t="s">
        <v>26</v>
      </c>
      <c r="D1150" s="39" t="s">
        <v>478</v>
      </c>
      <c r="E1150" s="39" t="s">
        <v>480</v>
      </c>
      <c r="F1150" s="39" t="s">
        <v>369</v>
      </c>
      <c r="G1150" s="39" t="s">
        <v>480</v>
      </c>
      <c r="H1150" s="59" t="str">
        <f>Table1[[#This Row],[Tabela]]&amp;Table1[[#This Row],[Campo]]</f>
        <v>lt004_protectionflg_col</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7" hidden="1"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482</v>
      </c>
      <c r="F1152" s="40" t="s">
        <v>369</v>
      </c>
      <c r="G1152" s="38" t="s">
        <v>482</v>
      </c>
      <c r="H1152" s="60" t="str">
        <f>Table1[[#This Row],[Tabela]]&amp;Table1[[#This Row],[Campo]]</f>
        <v>lt004_protectionflg_pro</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7" hidden="1" customHeight="1">
      <c r="B1153" s="39" t="s">
        <v>26</v>
      </c>
      <c r="C1153" s="39" t="s">
        <v>26</v>
      </c>
      <c r="D1153" s="39" t="s">
        <v>478</v>
      </c>
      <c r="E1153" s="39" t="s">
        <v>482</v>
      </c>
      <c r="F1153" s="39" t="s">
        <v>369</v>
      </c>
      <c r="G1153" s="39" t="s">
        <v>482</v>
      </c>
      <c r="H1153" s="59" t="str">
        <f>Table1[[#This Row],[Tabela]]&amp;Table1[[#This Row],[Campo]]</f>
        <v>lt004_protectionflg_pro</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7" hidden="1"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17.7" hidden="1" customHeight="1">
      <c r="B1155" s="41" t="s">
        <v>26</v>
      </c>
      <c r="C1155" s="41" t="s">
        <v>26</v>
      </c>
      <c r="D1155" s="2" t="s">
        <v>38</v>
      </c>
      <c r="E1155" s="42" t="s">
        <v>38</v>
      </c>
      <c r="F1155" s="40" t="s">
        <v>380</v>
      </c>
      <c r="G1155" s="38" t="s">
        <v>381</v>
      </c>
      <c r="H1155" s="60" t="str">
        <f>Table1[[#This Row],[Tabela]]&amp;Table1[[#This Row],[Campo]]</f>
        <v>lt002_instrumentrsk_mtgtd_cct</v>
      </c>
      <c r="I1155" s="2" t="s">
        <v>1948</v>
      </c>
      <c r="J1155" s="45">
        <f>VLOOKUP(Table1[[#This Row],[Status]],Auxiliar!$B$16:$C$24,2,0)</f>
        <v>3</v>
      </c>
      <c r="K1155" s="45" t="s">
        <v>1266</v>
      </c>
      <c r="L1155" s="46" t="s">
        <v>1272</v>
      </c>
      <c r="M1155" s="21" t="s">
        <v>1273</v>
      </c>
      <c r="N1155" s="48">
        <v>45590</v>
      </c>
      <c r="O1155" s="21">
        <f>INDEX(Auxiliar!$D$5:$F$13,MATCH(Table1[[#This Row],[Tipologia_Testes]],Auxiliar!$B$5:$B$13,0),MATCH(Table1[[#This Row],[Complexidade]],Auxiliar!$D$4:$F$4,0))</f>
        <v>2</v>
      </c>
      <c r="P1155" s="43" t="s">
        <v>573</v>
      </c>
      <c r="Q1155" s="152"/>
      <c r="R1155" s="152">
        <v>45261</v>
      </c>
      <c r="S1155" s="152"/>
      <c r="T1155" s="152"/>
      <c r="U1155" s="152"/>
      <c r="V1155" s="152"/>
      <c r="W1155" s="2">
        <f>VLOOKUP(Table1[[#This Row],[Status]],Auxiliar!$B$16:$D$24,3,0)*Table1[[#This Row],[Estimação (horas)]]</f>
        <v>1</v>
      </c>
      <c r="X1155" s="114"/>
    </row>
    <row r="1156" spans="2:24" ht="17.7" hidden="1" customHeight="1">
      <c r="B1156" s="39" t="s">
        <v>26</v>
      </c>
      <c r="C1156" s="39" t="s">
        <v>26</v>
      </c>
      <c r="D1156" s="2" t="s">
        <v>38</v>
      </c>
      <c r="E1156" s="39" t="s">
        <v>38</v>
      </c>
      <c r="F1156" s="39" t="s">
        <v>380</v>
      </c>
      <c r="G1156" s="39" t="s">
        <v>381</v>
      </c>
      <c r="H1156" s="59" t="str">
        <f>Table1[[#This Row],[Tabela]]&amp;Table1[[#This Row],[Campo]]</f>
        <v>lt002_instrumentrsk_mtgtd_cct</v>
      </c>
      <c r="I1156" s="2" t="s">
        <v>1948</v>
      </c>
      <c r="J1156" s="45">
        <f>VLOOKUP(Table1[[#This Row],[Status]],Auxiliar!$B$16:$C$24,2,0)</f>
        <v>3</v>
      </c>
      <c r="K1156" s="45" t="s">
        <v>1267</v>
      </c>
      <c r="L1156" s="46" t="s">
        <v>1272</v>
      </c>
      <c r="M1156" s="21" t="s">
        <v>1273</v>
      </c>
      <c r="N1156" s="48">
        <v>45590</v>
      </c>
      <c r="O1156" s="21">
        <f>INDEX(Auxiliar!$D$5:$F$13,MATCH(Table1[[#This Row],[Tipologia_Testes]],Auxiliar!$B$5:$B$13,0),MATCH(Table1[[#This Row],[Complexidade]],Auxiliar!$D$4:$F$4,0))</f>
        <v>2</v>
      </c>
      <c r="P1156" s="43" t="s">
        <v>573</v>
      </c>
      <c r="Q1156" s="152"/>
      <c r="R1156" s="152">
        <v>45261</v>
      </c>
      <c r="S1156" s="152"/>
      <c r="T1156" s="152"/>
      <c r="U1156" s="152"/>
      <c r="V1156" s="152"/>
      <c r="W1156" s="2">
        <f>VLOOKUP(Table1[[#This Row],[Status]],Auxiliar!$B$16:$D$24,3,0)*Table1[[#This Row],[Estimação (horas)]]</f>
        <v>1</v>
      </c>
      <c r="X1156" s="114"/>
    </row>
    <row r="1157" spans="2:24" ht="17.7" hidden="1" customHeight="1">
      <c r="B1157" s="39" t="s">
        <v>26</v>
      </c>
      <c r="C1157" s="39" t="s">
        <v>26</v>
      </c>
      <c r="D1157" s="2" t="s">
        <v>38</v>
      </c>
      <c r="E1157" s="39" t="s">
        <v>38</v>
      </c>
      <c r="F1157" s="39" t="s">
        <v>380</v>
      </c>
      <c r="G1157" s="39" t="s">
        <v>381</v>
      </c>
      <c r="H1157" s="59" t="str">
        <f>Table1[[#This Row],[Tabela]]&amp;Table1[[#This Row],[Campo]]</f>
        <v>lt002_instrumentrsk_mtgtd_cct</v>
      </c>
      <c r="I1157" s="2" t="s">
        <v>1948</v>
      </c>
      <c r="J1157" s="45">
        <f>VLOOKUP(Table1[[#This Row],[Status]],Auxiliar!$B$16:$C$24,2,0)</f>
        <v>3</v>
      </c>
      <c r="K1157" s="45" t="s">
        <v>1269</v>
      </c>
      <c r="L1157" s="46" t="s">
        <v>1272</v>
      </c>
      <c r="M1157" s="21" t="s">
        <v>1273</v>
      </c>
      <c r="N1157" s="48">
        <v>45590</v>
      </c>
      <c r="O1157" s="21">
        <f>INDEX(Auxiliar!$D$5:$F$13,MATCH(Table1[[#This Row],[Tipologia_Testes]],Auxiliar!$B$5:$B$13,0),MATCH(Table1[[#This Row],[Complexidade]],Auxiliar!$D$4:$F$4,0))</f>
        <v>0.1</v>
      </c>
      <c r="P1157" s="43" t="s">
        <v>573</v>
      </c>
      <c r="Q1157" s="152"/>
      <c r="R1157" s="152">
        <v>45261</v>
      </c>
      <c r="S1157" s="152"/>
      <c r="T1157" s="152"/>
      <c r="U1157" s="152"/>
      <c r="V1157" s="152"/>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382</v>
      </c>
      <c r="H1158" s="60" t="str">
        <f>Table1[[#This Row],[Tabela]]&amp;Table1[[#This Row],[Campo]]</f>
        <v>lt002_instrumentrsk_mtgtd_ccp</v>
      </c>
      <c r="I1158" s="2" t="s">
        <v>1948</v>
      </c>
      <c r="J1158" s="45">
        <f>VLOOKUP(Table1[[#This Row],[Status]],Auxiliar!$B$16:$C$24,2,0)</f>
        <v>3</v>
      </c>
      <c r="K1158" s="45" t="s">
        <v>1266</v>
      </c>
      <c r="L1158" s="46" t="s">
        <v>1272</v>
      </c>
      <c r="M1158" s="21" t="s">
        <v>1273</v>
      </c>
      <c r="N1158" s="48">
        <v>45590</v>
      </c>
      <c r="O1158" s="21">
        <f>INDEX(Auxiliar!$D$5:$F$13,MATCH(Table1[[#This Row],[Tipologia_Testes]],Auxiliar!$B$5:$B$13,0),MATCH(Table1[[#This Row],[Complexidade]],Auxiliar!$D$4:$F$4,0))</f>
        <v>2</v>
      </c>
      <c r="P1158" s="43" t="s">
        <v>573</v>
      </c>
      <c r="Q1158" s="152"/>
      <c r="R1158" s="152">
        <v>45261</v>
      </c>
      <c r="S1158" s="152"/>
      <c r="T1158" s="152"/>
      <c r="U1158" s="152"/>
      <c r="V1158" s="152"/>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382</v>
      </c>
      <c r="H1159" s="59" t="str">
        <f>Table1[[#This Row],[Tabela]]&amp;Table1[[#This Row],[Campo]]</f>
        <v>lt002_instrumentrsk_mtgtd_ccp</v>
      </c>
      <c r="I1159" s="2" t="s">
        <v>1948</v>
      </c>
      <c r="J1159" s="45">
        <f>VLOOKUP(Table1[[#This Row],[Status]],Auxiliar!$B$16:$C$24,2,0)</f>
        <v>3</v>
      </c>
      <c r="K1159" s="45" t="s">
        <v>1267</v>
      </c>
      <c r="L1159" s="46" t="s">
        <v>1272</v>
      </c>
      <c r="M1159" s="21" t="s">
        <v>1273</v>
      </c>
      <c r="N1159" s="48">
        <v>45590</v>
      </c>
      <c r="O1159" s="21">
        <f>INDEX(Auxiliar!$D$5:$F$13,MATCH(Table1[[#This Row],[Tipologia_Testes]],Auxiliar!$B$5:$B$13,0),MATCH(Table1[[#This Row],[Complexidade]],Auxiliar!$D$4:$F$4,0))</f>
        <v>2</v>
      </c>
      <c r="P1159" s="43" t="s">
        <v>573</v>
      </c>
      <c r="Q1159" s="152"/>
      <c r="R1159" s="152">
        <v>45261</v>
      </c>
      <c r="S1159" s="152"/>
      <c r="T1159" s="152"/>
      <c r="U1159" s="152"/>
      <c r="V1159" s="152"/>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382</v>
      </c>
      <c r="H1160" s="59" t="str">
        <f>Table1[[#This Row],[Tabela]]&amp;Table1[[#This Row],[Campo]]</f>
        <v>lt002_instrumentrsk_mtgtd_ccp</v>
      </c>
      <c r="I1160" s="2" t="s">
        <v>1948</v>
      </c>
      <c r="J1160" s="45">
        <f>VLOOKUP(Table1[[#This Row],[Status]],Auxiliar!$B$16:$C$24,2,0)</f>
        <v>3</v>
      </c>
      <c r="K1160" s="45" t="s">
        <v>1269</v>
      </c>
      <c r="L1160" s="46" t="s">
        <v>1272</v>
      </c>
      <c r="M1160" s="21" t="s">
        <v>1273</v>
      </c>
      <c r="N1160" s="48">
        <v>45590</v>
      </c>
      <c r="O1160" s="21">
        <f>INDEX(Auxiliar!$D$5:$F$13,MATCH(Table1[[#This Row],[Tipologia_Testes]],Auxiliar!$B$5:$B$13,0),MATCH(Table1[[#This Row],[Complexidade]],Auxiliar!$D$4:$F$4,0))</f>
        <v>0.1</v>
      </c>
      <c r="P1160" s="43" t="s">
        <v>573</v>
      </c>
      <c r="Q1160" s="152"/>
      <c r="R1160" s="152">
        <v>45261</v>
      </c>
      <c r="S1160" s="152"/>
      <c r="T1160" s="152"/>
      <c r="U1160" s="152"/>
      <c r="V1160" s="152"/>
      <c r="W1160" s="2">
        <f>VLOOKUP(Table1[[#This Row],[Status]],Auxiliar!$B$16:$D$24,3,0)*Table1[[#This Row],[Estimação (horas)]]</f>
        <v>0.05</v>
      </c>
      <c r="X1160" s="114"/>
    </row>
    <row r="1161" spans="2:24" ht="17.7" hidden="1" customHeight="1">
      <c r="B1161" s="41" t="s">
        <v>26</v>
      </c>
      <c r="C1161" s="41" t="s">
        <v>26</v>
      </c>
      <c r="D1161" s="37" t="s">
        <v>1373</v>
      </c>
      <c r="E1161" s="42" t="s">
        <v>1355</v>
      </c>
      <c r="F1161" s="40" t="s">
        <v>380</v>
      </c>
      <c r="G1161" s="38" t="s">
        <v>383</v>
      </c>
      <c r="H1161" s="60" t="str">
        <f>Table1[[#This Row],[Tabela]]&amp;Table1[[#This Row],[Campo]]</f>
        <v>lt002_instrumentenvrnmntl_objctv</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45593</v>
      </c>
      <c r="S1161" s="152"/>
      <c r="T1161" s="152">
        <v>45593</v>
      </c>
      <c r="U1161" s="152"/>
      <c r="V1161" s="152"/>
      <c r="W1161" s="2">
        <f>VLOOKUP(Table1[[#This Row],[Status]],Auxiliar!$B$16:$D$24,3,0)*Table1[[#This Row],[Estimação (horas)]]</f>
        <v>0.5</v>
      </c>
      <c r="X1161" s="114"/>
    </row>
    <row r="1162" spans="2:24" ht="17.7" hidden="1" customHeight="1">
      <c r="B1162" s="39" t="s">
        <v>26</v>
      </c>
      <c r="C1162" s="39" t="s">
        <v>26</v>
      </c>
      <c r="D1162" s="39" t="s">
        <v>1373</v>
      </c>
      <c r="E1162" s="39" t="s">
        <v>1355</v>
      </c>
      <c r="F1162" s="39" t="s">
        <v>380</v>
      </c>
      <c r="G1162" s="39" t="s">
        <v>383</v>
      </c>
      <c r="H1162" s="59" t="str">
        <f>Table1[[#This Row],[Tabela]]&amp;Table1[[#This Row],[Campo]]</f>
        <v>lt002_instrumentenvrnmntl_objctv</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45593</v>
      </c>
      <c r="S1162" s="152"/>
      <c r="T1162" s="152">
        <v>45593</v>
      </c>
      <c r="U1162" s="152"/>
      <c r="V1162" s="152"/>
      <c r="W1162" s="2">
        <f>VLOOKUP(Table1[[#This Row],[Status]],Auxiliar!$B$16:$D$24,3,0)*Table1[[#This Row],[Estimação (horas)]]</f>
        <v>0.5</v>
      </c>
      <c r="X1162" s="114"/>
    </row>
    <row r="1163" spans="2:24" ht="17.7" hidden="1" customHeight="1">
      <c r="B1163" s="39" t="s">
        <v>26</v>
      </c>
      <c r="C1163" s="39" t="s">
        <v>26</v>
      </c>
      <c r="D1163" s="39" t="s">
        <v>1373</v>
      </c>
      <c r="E1163" s="39" t="s">
        <v>1355</v>
      </c>
      <c r="F1163" s="39" t="s">
        <v>380</v>
      </c>
      <c r="G1163" s="39" t="s">
        <v>383</v>
      </c>
      <c r="H1163" s="59" t="str">
        <f>Table1[[#This Row],[Tabela]]&amp;Table1[[#This Row],[Campo]]</f>
        <v>lt002_instrumentenvrnmntl_objctv</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45593</v>
      </c>
      <c r="S1163" s="152"/>
      <c r="T1163" s="152">
        <v>45593</v>
      </c>
      <c r="U1163" s="152"/>
      <c r="V1163" s="152"/>
      <c r="W1163" s="2">
        <f>VLOOKUP(Table1[[#This Row],[Status]],Auxiliar!$B$16:$D$24,3,0)*Table1[[#This Row],[Estimação (horas)]]</f>
        <v>2.5000000000000001E-2</v>
      </c>
      <c r="X1163" s="114"/>
    </row>
    <row r="1164" spans="2:24" ht="17.7" hidden="1" customHeight="1">
      <c r="B1164" s="41" t="s">
        <v>26</v>
      </c>
      <c r="C1164" s="41" t="s">
        <v>26</v>
      </c>
      <c r="D1164" s="37" t="s">
        <v>1373</v>
      </c>
      <c r="E1164" s="42" t="s">
        <v>1355</v>
      </c>
      <c r="F1164" s="40" t="s">
        <v>380</v>
      </c>
      <c r="G1164" s="38" t="s">
        <v>384</v>
      </c>
      <c r="H1164" s="60" t="str">
        <f>Table1[[#This Row],[Tabela]]&amp;Table1[[#This Row],[Campo]]</f>
        <v>lt002_instrumenttyp_actvty</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7" hidden="1" customHeight="1">
      <c r="B1165" s="39" t="s">
        <v>26</v>
      </c>
      <c r="C1165" s="39" t="s">
        <v>26</v>
      </c>
      <c r="D1165" s="39" t="s">
        <v>1373</v>
      </c>
      <c r="E1165" s="39" t="s">
        <v>1355</v>
      </c>
      <c r="F1165" s="39" t="s">
        <v>380</v>
      </c>
      <c r="G1165" s="39" t="s">
        <v>384</v>
      </c>
      <c r="H1165" s="59" t="str">
        <f>Table1[[#This Row],[Tabela]]&amp;Table1[[#This Row],[Campo]]</f>
        <v>lt002_instrumenttyp_actvty</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7" hidden="1" customHeight="1">
      <c r="B1166" s="39" t="s">
        <v>26</v>
      </c>
      <c r="C1166" s="39" t="s">
        <v>26</v>
      </c>
      <c r="D1166" s="39" t="s">
        <v>1373</v>
      </c>
      <c r="E1166" s="39" t="s">
        <v>1355</v>
      </c>
      <c r="F1166" s="39" t="s">
        <v>380</v>
      </c>
      <c r="G1166" s="39" t="s">
        <v>384</v>
      </c>
      <c r="H1166" s="59" t="str">
        <f>Table1[[#This Row],[Tabela]]&amp;Table1[[#This Row],[Campo]]</f>
        <v>lt002_instrumenttyp_actvty</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c r="V1166" s="152"/>
      <c r="W1166" s="2">
        <f>VLOOKUP(Table1[[#This Row],[Status]],Auxiliar!$B$16:$D$24,3,0)*Table1[[#This Row],[Estimação (horas)]]</f>
        <v>2.5000000000000001E-2</v>
      </c>
      <c r="X1166" s="114"/>
    </row>
    <row r="1167" spans="2:24" ht="17.7" hidden="1" customHeight="1">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1380</v>
      </c>
      <c r="Q1167" s="152"/>
      <c r="R1167" s="152">
        <v>45583</v>
      </c>
      <c r="S1167" s="152"/>
      <c r="T1167" s="152">
        <v>45583</v>
      </c>
      <c r="U1167" s="152">
        <v>45589</v>
      </c>
      <c r="V1167" s="152">
        <v>45589</v>
      </c>
      <c r="W1167" s="2">
        <f>VLOOKUP(Table1[[#This Row],[Status]],Auxiliar!$B$16:$D$24,3,0)*Table1[[#This Row],[Estimação (horas)]]</f>
        <v>2</v>
      </c>
      <c r="X1167" s="114"/>
    </row>
    <row r="1168" spans="2:24" ht="17.7" hidden="1" customHeight="1">
      <c r="B1168" s="39" t="s">
        <v>26</v>
      </c>
      <c r="C1168" s="39" t="s">
        <v>26</v>
      </c>
      <c r="D1168" s="39" t="s">
        <v>1373</v>
      </c>
      <c r="E1168" s="39" t="s">
        <v>1355</v>
      </c>
      <c r="F1168" s="39" t="s">
        <v>380</v>
      </c>
      <c r="G1168" s="39" t="s">
        <v>385</v>
      </c>
      <c r="H1168" s="59" t="str">
        <f>Table1[[#This Row],[Tabela]]&amp;Table1[[#This Row],[Campo]]</f>
        <v>lt002_instrumentlns_clltrlzd_clssfctn</v>
      </c>
      <c r="I1168" s="2" t="s">
        <v>614</v>
      </c>
      <c r="J1168" s="45">
        <f>VLOOKUP(Table1[[#This Row],[Status]],Auxiliar!$B$16:$C$24,2,0)</f>
        <v>1</v>
      </c>
      <c r="K1168" s="45" t="s">
        <v>1267</v>
      </c>
      <c r="L1168" s="46" t="s">
        <v>1272</v>
      </c>
      <c r="M1168" s="21" t="s">
        <v>1273</v>
      </c>
      <c r="N1168" s="48">
        <v>45596</v>
      </c>
      <c r="O1168" s="21">
        <f>INDEX(Auxiliar!$D$5:$F$13,MATCH(Table1[[#This Row],[Tipologia_Testes]],Auxiliar!$B$5:$B$13,0),MATCH(Table1[[#This Row],[Complexidade]],Auxiliar!$D$4:$F$4,0))</f>
        <v>2</v>
      </c>
      <c r="P1168" s="43" t="s">
        <v>1380</v>
      </c>
      <c r="Q1168" s="152"/>
      <c r="R1168" s="152">
        <v>45583</v>
      </c>
      <c r="S1168" s="152"/>
      <c r="T1168" s="152">
        <v>45583</v>
      </c>
      <c r="U1168" s="152"/>
      <c r="V1168" s="152">
        <v>45589</v>
      </c>
      <c r="W1168" s="2">
        <f>VLOOKUP(Table1[[#This Row],[Status]],Auxiliar!$B$16:$D$24,3,0)*Table1[[#This Row],[Estimação (horas)]]</f>
        <v>2</v>
      </c>
      <c r="X1168" s="114"/>
    </row>
    <row r="1169" spans="2:24" ht="17.7" hidden="1"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614</v>
      </c>
      <c r="J1169" s="45">
        <f>VLOOKUP(Table1[[#This Row],[Status]],Auxiliar!$B$16:$C$24,2,0)</f>
        <v>1</v>
      </c>
      <c r="K1169" s="45" t="s">
        <v>1269</v>
      </c>
      <c r="L1169" s="46" t="s">
        <v>1272</v>
      </c>
      <c r="M1169" s="21" t="s">
        <v>1273</v>
      </c>
      <c r="N1169" s="48">
        <v>45596</v>
      </c>
      <c r="O1169" s="21">
        <f>INDEX(Auxiliar!$D$5:$F$13,MATCH(Table1[[#This Row],[Tipologia_Testes]],Auxiliar!$B$5:$B$13,0),MATCH(Table1[[#This Row],[Complexidade]],Auxiliar!$D$4:$F$4,0))</f>
        <v>0.1</v>
      </c>
      <c r="P1169" s="43" t="s">
        <v>1380</v>
      </c>
      <c r="Q1169" s="152"/>
      <c r="R1169" s="152">
        <v>45583</v>
      </c>
      <c r="S1169" s="152"/>
      <c r="T1169" s="152">
        <v>45583</v>
      </c>
      <c r="U1169" s="152"/>
      <c r="V1169" s="152">
        <v>45589</v>
      </c>
      <c r="W1169" s="2">
        <f>VLOOKUP(Table1[[#This Row],[Status]],Auxiliar!$B$16:$D$24,3,0)*Table1[[#This Row],[Estimação (horas)]]</f>
        <v>0.1</v>
      </c>
      <c r="X1169" s="114"/>
    </row>
    <row r="1170" spans="2:24" ht="34.950000000000003" hidden="1" customHeight="1">
      <c r="B1170" s="41" t="s">
        <v>26</v>
      </c>
      <c r="C1170" s="41" t="s">
        <v>26</v>
      </c>
      <c r="D1170" s="37" t="s">
        <v>390</v>
      </c>
      <c r="E1170" s="111" t="s">
        <v>38</v>
      </c>
      <c r="F1170" s="40" t="s">
        <v>380</v>
      </c>
      <c r="G1170" s="38" t="s">
        <v>386</v>
      </c>
      <c r="H1170" s="60" t="str">
        <f>Table1[[#This Row],[Tabela]]&amp;Table1[[#This Row],[Campo]]</f>
        <v>lt002_instrumentmthd_usd_instrmnt_scp_1</v>
      </c>
      <c r="I1170" s="2" t="s">
        <v>619</v>
      </c>
      <c r="J1170" s="45">
        <f>VLOOKUP(Table1[[#This Row],[Status]],Auxiliar!$B$16:$C$24,2,0)</f>
        <v>7</v>
      </c>
      <c r="K1170" s="45" t="s">
        <v>1266</v>
      </c>
      <c r="L1170" s="46" t="s">
        <v>1272</v>
      </c>
      <c r="M1170" s="21" t="s">
        <v>1273</v>
      </c>
      <c r="N1170" s="48">
        <v>45596</v>
      </c>
      <c r="O1170" s="21">
        <f>INDEX(Auxiliar!$D$5:$F$13,MATCH(Table1[[#This Row],[Tipologia_Testes]],Auxiliar!$B$5:$B$13,0),MATCH(Table1[[#This Row],[Complexidade]],Auxiliar!$D$4:$F$4,0))</f>
        <v>2</v>
      </c>
      <c r="P1170" s="43"/>
      <c r="Q1170" s="152"/>
      <c r="R1170" s="152">
        <v>45593</v>
      </c>
      <c r="S1170" s="152"/>
      <c r="T1170" s="152">
        <v>45593</v>
      </c>
      <c r="U1170" s="152"/>
      <c r="V1170" s="152"/>
      <c r="W1170" s="2">
        <f>VLOOKUP(Table1[[#This Row],[Status]],Auxiliar!$B$16:$D$24,3,0)*Table1[[#This Row],[Estimação (horas)]]</f>
        <v>0.5</v>
      </c>
      <c r="X1170" s="114"/>
    </row>
    <row r="1171" spans="2:24" ht="17.7" hidden="1" customHeight="1">
      <c r="B1171" s="39" t="s">
        <v>26</v>
      </c>
      <c r="C1171" s="39" t="s">
        <v>26</v>
      </c>
      <c r="D1171" s="39" t="s">
        <v>390</v>
      </c>
      <c r="E1171" s="39" t="s">
        <v>38</v>
      </c>
      <c r="F1171" s="39" t="s">
        <v>380</v>
      </c>
      <c r="G1171" s="39" t="s">
        <v>386</v>
      </c>
      <c r="H1171" s="59" t="str">
        <f>Table1[[#This Row],[Tabela]]&amp;Table1[[#This Row],[Campo]]</f>
        <v>lt002_instrumentmthd_usd_instrmnt_scp_1</v>
      </c>
      <c r="I1171" s="2" t="s">
        <v>619</v>
      </c>
      <c r="J1171" s="45">
        <f>VLOOKUP(Table1[[#This Row],[Status]],Auxiliar!$B$16:$C$24,2,0)</f>
        <v>7</v>
      </c>
      <c r="K1171" s="45" t="s">
        <v>1267</v>
      </c>
      <c r="L1171" s="46" t="s">
        <v>1272</v>
      </c>
      <c r="M1171" s="21" t="s">
        <v>1273</v>
      </c>
      <c r="N1171" s="48">
        <v>45596</v>
      </c>
      <c r="O1171" s="21">
        <f>INDEX(Auxiliar!$D$5:$F$13,MATCH(Table1[[#This Row],[Tipologia_Testes]],Auxiliar!$B$5:$B$13,0),MATCH(Table1[[#This Row],[Complexidade]],Auxiliar!$D$4:$F$4,0))</f>
        <v>2</v>
      </c>
      <c r="P1171" s="43"/>
      <c r="Q1171" s="152"/>
      <c r="R1171" s="152">
        <v>45593</v>
      </c>
      <c r="S1171" s="152"/>
      <c r="T1171" s="152">
        <v>45593</v>
      </c>
      <c r="U1171" s="152"/>
      <c r="V1171" s="152"/>
      <c r="W1171" s="2">
        <f>VLOOKUP(Table1[[#This Row],[Status]],Auxiliar!$B$16:$D$24,3,0)*Table1[[#This Row],[Estimação (horas)]]</f>
        <v>0.5</v>
      </c>
      <c r="X1171" s="114"/>
    </row>
    <row r="1172" spans="2:24" ht="17.7" hidden="1" customHeight="1">
      <c r="B1172" s="39" t="s">
        <v>26</v>
      </c>
      <c r="C1172" s="39" t="s">
        <v>26</v>
      </c>
      <c r="D1172" s="39" t="s">
        <v>390</v>
      </c>
      <c r="E1172" s="39" t="s">
        <v>38</v>
      </c>
      <c r="F1172" s="39" t="s">
        <v>380</v>
      </c>
      <c r="G1172" s="39" t="s">
        <v>386</v>
      </c>
      <c r="H1172" s="59" t="str">
        <f>Table1[[#This Row],[Tabela]]&amp;Table1[[#This Row],[Campo]]</f>
        <v>lt002_instrumentmthd_usd_instrmnt_scp_1</v>
      </c>
      <c r="I1172" s="2" t="s">
        <v>619</v>
      </c>
      <c r="J1172" s="45">
        <f>VLOOKUP(Table1[[#This Row],[Status]],Auxiliar!$B$16:$C$24,2,0)</f>
        <v>7</v>
      </c>
      <c r="K1172" s="45" t="s">
        <v>1269</v>
      </c>
      <c r="L1172" s="46" t="s">
        <v>1272</v>
      </c>
      <c r="M1172" s="21" t="s">
        <v>1273</v>
      </c>
      <c r="N1172" s="48">
        <v>45596</v>
      </c>
      <c r="O1172" s="21">
        <f>INDEX(Auxiliar!$D$5:$F$13,MATCH(Table1[[#This Row],[Tipologia_Testes]],Auxiliar!$B$5:$B$13,0),MATCH(Table1[[#This Row],[Complexidade]],Auxiliar!$D$4:$F$4,0))</f>
        <v>0.1</v>
      </c>
      <c r="P1172" s="43"/>
      <c r="Q1172" s="152"/>
      <c r="R1172" s="152">
        <v>45593</v>
      </c>
      <c r="S1172" s="152"/>
      <c r="T1172" s="152">
        <v>45593</v>
      </c>
      <c r="U1172" s="152"/>
      <c r="V1172" s="152"/>
      <c r="W1172" s="2">
        <f>VLOOKUP(Table1[[#This Row],[Status]],Auxiliar!$B$16:$D$24,3,0)*Table1[[#This Row],[Estimação (horas)]]</f>
        <v>2.5000000000000001E-2</v>
      </c>
      <c r="X1172" s="114"/>
    </row>
    <row r="1173" spans="2:24" ht="34.950000000000003" hidden="1" customHeight="1">
      <c r="B1173" s="41" t="s">
        <v>26</v>
      </c>
      <c r="C1173" s="41" t="s">
        <v>26</v>
      </c>
      <c r="D1173" s="37" t="s">
        <v>390</v>
      </c>
      <c r="E1173" s="111" t="s">
        <v>38</v>
      </c>
      <c r="F1173" s="40" t="s">
        <v>380</v>
      </c>
      <c r="G1173" s="38" t="s">
        <v>387</v>
      </c>
      <c r="H1173" s="60" t="str">
        <f>Table1[[#This Row],[Tabela]]&amp;Table1[[#This Row],[Campo]]</f>
        <v>lt002_instrumentmthd_usd_instrmnt_scp_2</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7" hidden="1" customHeight="1">
      <c r="B1174" s="39" t="s">
        <v>26</v>
      </c>
      <c r="C1174" s="39" t="s">
        <v>26</v>
      </c>
      <c r="D1174" s="39" t="s">
        <v>390</v>
      </c>
      <c r="E1174" s="39" t="s">
        <v>38</v>
      </c>
      <c r="F1174" s="39" t="s">
        <v>380</v>
      </c>
      <c r="G1174" s="39" t="s">
        <v>387</v>
      </c>
      <c r="H1174" s="59" t="str">
        <f>Table1[[#This Row],[Tabela]]&amp;Table1[[#This Row],[Campo]]</f>
        <v>lt002_instrumentmthd_usd_instrmnt_scp_2</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7" hidden="1" customHeight="1">
      <c r="B1175" s="39" t="s">
        <v>26</v>
      </c>
      <c r="C1175" s="39" t="s">
        <v>26</v>
      </c>
      <c r="D1175" s="39" t="s">
        <v>390</v>
      </c>
      <c r="E1175" s="39" t="s">
        <v>38</v>
      </c>
      <c r="F1175" s="39" t="s">
        <v>380</v>
      </c>
      <c r="G1175" s="39" t="s">
        <v>387</v>
      </c>
      <c r="H1175" s="59" t="str">
        <f>Table1[[#This Row],[Tabela]]&amp;Table1[[#This Row],[Campo]]</f>
        <v>lt002_instrumentmthd_usd_instrmnt_scp_2</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c r="V1175" s="152"/>
      <c r="W1175" s="2">
        <f>VLOOKUP(Table1[[#This Row],[Status]],Auxiliar!$B$16:$D$24,3,0)*Table1[[#This Row],[Estimação (horas)]]</f>
        <v>2.5000000000000001E-2</v>
      </c>
      <c r="X1175" s="114"/>
    </row>
    <row r="1176" spans="2:24" ht="34.950000000000003" hidden="1" customHeight="1">
      <c r="B1176" s="39" t="s">
        <v>26</v>
      </c>
      <c r="C1176" s="39" t="s">
        <v>26</v>
      </c>
      <c r="D1176" s="37" t="s">
        <v>390</v>
      </c>
      <c r="E1176" s="111" t="s">
        <v>38</v>
      </c>
      <c r="F1176" s="40" t="s">
        <v>380</v>
      </c>
      <c r="G1176" s="38" t="s">
        <v>388</v>
      </c>
      <c r="H1176" s="60" t="str">
        <f>Table1[[#This Row],[Tabela]]&amp;Table1[[#This Row],[Campo]]</f>
        <v>lt002_instrumentmthd_usd_instrmnt_scp_3</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7" hidden="1" customHeight="1">
      <c r="B1177" s="39" t="s">
        <v>26</v>
      </c>
      <c r="C1177" s="39" t="s">
        <v>26</v>
      </c>
      <c r="D1177" s="39" t="s">
        <v>390</v>
      </c>
      <c r="E1177" s="39" t="s">
        <v>38</v>
      </c>
      <c r="F1177" s="39" t="s">
        <v>380</v>
      </c>
      <c r="G1177" s="39" t="s">
        <v>388</v>
      </c>
      <c r="H1177" s="59" t="str">
        <f>Table1[[#This Row],[Tabela]]&amp;Table1[[#This Row],[Campo]]</f>
        <v>lt002_instrumentmthd_usd_instrmnt_scp_3</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7" hidden="1" customHeight="1">
      <c r="B1178" s="39" t="s">
        <v>26</v>
      </c>
      <c r="C1178" s="39" t="s">
        <v>26</v>
      </c>
      <c r="D1178" s="39" t="s">
        <v>390</v>
      </c>
      <c r="E1178" s="39" t="s">
        <v>38</v>
      </c>
      <c r="F1178" s="39" t="s">
        <v>380</v>
      </c>
      <c r="G1178" s="39" t="s">
        <v>388</v>
      </c>
      <c r="H1178" s="59" t="str">
        <f>Table1[[#This Row],[Tabela]]&amp;Table1[[#This Row],[Campo]]</f>
        <v>lt002_instrumentmthd_usd_instrmnt_scp_3</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c r="V1178" s="152"/>
      <c r="W1178" s="2">
        <f>VLOOKUP(Table1[[#This Row],[Status]],Auxiliar!$B$16:$D$24,3,0)*Table1[[#This Row],[Estimação (horas)]]</f>
        <v>2.5000000000000001E-2</v>
      </c>
      <c r="X1178" s="114"/>
    </row>
    <row r="1179" spans="2:24" ht="17.7" hidden="1" customHeight="1">
      <c r="B1179" s="39" t="s">
        <v>26</v>
      </c>
      <c r="C1179" s="39" t="s">
        <v>26</v>
      </c>
      <c r="D1179" s="40" t="s">
        <v>1382</v>
      </c>
      <c r="E1179" s="42" t="s">
        <v>1383</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7" hidden="1" customHeight="1">
      <c r="B1180" s="39" t="s">
        <v>26</v>
      </c>
      <c r="C1180" s="39" t="s">
        <v>26</v>
      </c>
      <c r="D1180" s="39" t="s">
        <v>1382</v>
      </c>
      <c r="E1180" s="39" t="s">
        <v>1383</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7" hidden="1" customHeight="1">
      <c r="B1181" s="39" t="s">
        <v>26</v>
      </c>
      <c r="C1181" s="39" t="s">
        <v>26</v>
      </c>
      <c r="D1181" s="39" t="s">
        <v>1382</v>
      </c>
      <c r="E1181" s="39" t="s">
        <v>1383</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c r="Q1181" s="152"/>
      <c r="R1181" s="152">
        <v>45593</v>
      </c>
      <c r="S1181" s="152"/>
      <c r="T1181" s="152">
        <v>45593</v>
      </c>
      <c r="U1181" s="152"/>
      <c r="V1181" s="152"/>
      <c r="W1181" s="2">
        <f>VLOOKUP(Table1[[#This Row],[Status]],Auxiliar!$B$16:$D$24,3,0)*Table1[[#This Row],[Estimação (horas)]]</f>
        <v>2.5000000000000001E-2</v>
      </c>
      <c r="X1181" s="114"/>
    </row>
    <row r="1182" spans="2:24" ht="17.7" hidden="1" customHeight="1">
      <c r="B1182" s="39" t="s">
        <v>26</v>
      </c>
      <c r="C1182" s="39" t="s">
        <v>26</v>
      </c>
      <c r="D1182" s="2" t="s">
        <v>38</v>
      </c>
      <c r="E1182" s="40" t="s">
        <v>38</v>
      </c>
      <c r="F1182" s="40" t="s">
        <v>390</v>
      </c>
      <c r="G1182" s="40" t="s">
        <v>391</v>
      </c>
      <c r="H1182" s="60" t="str">
        <f>Table1[[#This Row],[Tabela]]&amp;Table1[[#This Row],[Campo]]</f>
        <v>lt825_mthd_usd_instrmntambito</v>
      </c>
      <c r="I1182" s="2" t="s">
        <v>619</v>
      </c>
      <c r="J1182" s="45">
        <f>VLOOKUP(Table1[[#This Row],[Status]],Auxiliar!$B$16:$C$24,2,0)</f>
        <v>7</v>
      </c>
      <c r="K1182" s="45" t="s">
        <v>1266</v>
      </c>
      <c r="L1182" s="46" t="s">
        <v>1272</v>
      </c>
      <c r="M1182" s="21" t="s">
        <v>1273</v>
      </c>
      <c r="N1182" s="48">
        <v>45596</v>
      </c>
      <c r="O1182" s="21">
        <f>INDEX(Auxiliar!$D$5:$F$13,MATCH(Table1[[#This Row],[Tipologia_Testes]],Auxiliar!$B$5:$B$13,0),MATCH(Table1[[#This Row],[Complexidade]],Auxiliar!$D$4:$F$4,0))</f>
        <v>2</v>
      </c>
      <c r="P1182" s="43" t="s">
        <v>1968</v>
      </c>
      <c r="Q1182" s="152"/>
      <c r="R1182" s="152">
        <v>45593</v>
      </c>
      <c r="S1182" s="152"/>
      <c r="T1182" s="152">
        <v>45593</v>
      </c>
      <c r="U1182" s="152"/>
      <c r="V1182" s="152"/>
      <c r="W1182" s="2">
        <f>VLOOKUP(Table1[[#This Row],[Status]],Auxiliar!$B$16:$D$24,3,0)*Table1[[#This Row],[Estimação (horas)]]</f>
        <v>0.5</v>
      </c>
      <c r="X1182" s="114"/>
    </row>
    <row r="1183" spans="2:24" ht="17.7" hidden="1" customHeight="1">
      <c r="B1183" s="39" t="s">
        <v>26</v>
      </c>
      <c r="C1183" s="39" t="s">
        <v>26</v>
      </c>
      <c r="D1183" s="2" t="s">
        <v>38</v>
      </c>
      <c r="E1183" s="39" t="s">
        <v>38</v>
      </c>
      <c r="F1183" s="39" t="s">
        <v>390</v>
      </c>
      <c r="G1183" s="39" t="s">
        <v>391</v>
      </c>
      <c r="H1183" s="59" t="str">
        <f>Table1[[#This Row],[Tabela]]&amp;Table1[[#This Row],[Campo]]</f>
        <v>lt825_mthd_usd_instrmntambito</v>
      </c>
      <c r="I1183" s="2" t="s">
        <v>619</v>
      </c>
      <c r="J1183" s="45">
        <f>VLOOKUP(Table1[[#This Row],[Status]],Auxiliar!$B$16:$C$24,2,0)</f>
        <v>7</v>
      </c>
      <c r="K1183" s="45" t="s">
        <v>1267</v>
      </c>
      <c r="L1183" s="46" t="s">
        <v>1272</v>
      </c>
      <c r="M1183" s="21" t="s">
        <v>1273</v>
      </c>
      <c r="N1183" s="48">
        <v>45596</v>
      </c>
      <c r="O1183" s="21">
        <f>INDEX(Auxiliar!$D$5:$F$13,MATCH(Table1[[#This Row],[Tipologia_Testes]],Auxiliar!$B$5:$B$13,0),MATCH(Table1[[#This Row],[Complexidade]],Auxiliar!$D$4:$F$4,0))</f>
        <v>2</v>
      </c>
      <c r="P1183" s="43" t="s">
        <v>1968</v>
      </c>
      <c r="Q1183" s="152"/>
      <c r="R1183" s="152">
        <v>45593</v>
      </c>
      <c r="S1183" s="152"/>
      <c r="T1183" s="152">
        <v>45593</v>
      </c>
      <c r="U1183" s="152"/>
      <c r="V1183" s="152"/>
      <c r="W1183" s="2">
        <f>VLOOKUP(Table1[[#This Row],[Status]],Auxiliar!$B$16:$D$24,3,0)*Table1[[#This Row],[Estimação (horas)]]</f>
        <v>0.5</v>
      </c>
      <c r="X1183" s="114"/>
    </row>
    <row r="1184" spans="2:24" ht="17.7" hidden="1" customHeight="1">
      <c r="B1184" s="39" t="s">
        <v>26</v>
      </c>
      <c r="C1184" s="39" t="s">
        <v>26</v>
      </c>
      <c r="D1184" s="2" t="s">
        <v>38</v>
      </c>
      <c r="E1184" s="39" t="s">
        <v>38</v>
      </c>
      <c r="F1184" s="39" t="s">
        <v>390</v>
      </c>
      <c r="G1184" s="39" t="s">
        <v>391</v>
      </c>
      <c r="H1184" s="59" t="str">
        <f>Table1[[#This Row],[Tabela]]&amp;Table1[[#This Row],[Campo]]</f>
        <v>lt825_mthd_usd_instrmntambito</v>
      </c>
      <c r="I1184" s="2" t="s">
        <v>619</v>
      </c>
      <c r="J1184" s="45">
        <f>VLOOKUP(Table1[[#This Row],[Status]],Auxiliar!$B$16:$C$24,2,0)</f>
        <v>7</v>
      </c>
      <c r="K1184" s="45" t="s">
        <v>1269</v>
      </c>
      <c r="L1184" s="46" t="s">
        <v>1272</v>
      </c>
      <c r="M1184" s="21" t="s">
        <v>1273</v>
      </c>
      <c r="N1184" s="48">
        <v>45596</v>
      </c>
      <c r="O1184" s="21">
        <f>INDEX(Auxiliar!$D$5:$F$13,MATCH(Table1[[#This Row],[Tipologia_Testes]],Auxiliar!$B$5:$B$13,0),MATCH(Table1[[#This Row],[Complexidade]],Auxiliar!$D$4:$F$4,0))</f>
        <v>0.1</v>
      </c>
      <c r="P1184" s="43" t="s">
        <v>1968</v>
      </c>
      <c r="Q1184" s="152"/>
      <c r="R1184" s="152">
        <v>45593</v>
      </c>
      <c r="S1184" s="152"/>
      <c r="T1184" s="152">
        <v>45593</v>
      </c>
      <c r="U1184" s="152"/>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390</v>
      </c>
      <c r="G1185" s="40" t="s">
        <v>208</v>
      </c>
      <c r="H1185" s="60" t="str">
        <f>Table1[[#This Row],[Tabela]]&amp;Table1[[#This Row],[Campo]]</f>
        <v>lt825_mthd_usd_instrmntref_date</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t="s">
        <v>1968</v>
      </c>
      <c r="Q1185" s="152"/>
      <c r="R1185" s="152">
        <v>45593</v>
      </c>
      <c r="S1185" s="152"/>
      <c r="T1185" s="152">
        <v>45593</v>
      </c>
      <c r="U1185" s="152"/>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390</v>
      </c>
      <c r="G1186" s="39" t="s">
        <v>208</v>
      </c>
      <c r="H1186" s="59" t="str">
        <f>Table1[[#This Row],[Tabela]]&amp;Table1[[#This Row],[Campo]]</f>
        <v>lt825_mthd_usd_instrmntref_date</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t="s">
        <v>1968</v>
      </c>
      <c r="Q1186" s="152"/>
      <c r="R1186" s="152">
        <v>45593</v>
      </c>
      <c r="S1186" s="152"/>
      <c r="T1186" s="152">
        <v>45593</v>
      </c>
      <c r="U1186" s="152"/>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390</v>
      </c>
      <c r="G1187" s="39" t="s">
        <v>208</v>
      </c>
      <c r="H1187" s="59" t="str">
        <f>Table1[[#This Row],[Tabela]]&amp;Table1[[#This Row],[Campo]]</f>
        <v>lt825_mthd_usd_instrmntref_date</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t="s">
        <v>1968</v>
      </c>
      <c r="Q1187" s="152"/>
      <c r="R1187" s="152">
        <v>45593</v>
      </c>
      <c r="S1187" s="152"/>
      <c r="T1187" s="152">
        <v>45593</v>
      </c>
      <c r="U1187" s="152"/>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390</v>
      </c>
      <c r="G1188" s="40" t="s">
        <v>211</v>
      </c>
      <c r="H1188" s="60" t="str">
        <f>Table1[[#This Row],[Tabela]]&amp;Table1[[#This Row],[Campo]]</f>
        <v>lt825_mthd_usd_instrmntordem</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t="s">
        <v>1968</v>
      </c>
      <c r="Q1188" s="152"/>
      <c r="R1188" s="152">
        <v>45593</v>
      </c>
      <c r="S1188" s="152"/>
      <c r="T1188" s="152">
        <v>45593</v>
      </c>
      <c r="U1188" s="152"/>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390</v>
      </c>
      <c r="G1189" s="39" t="s">
        <v>211</v>
      </c>
      <c r="H1189" s="59" t="str">
        <f>Table1[[#This Row],[Tabela]]&amp;Table1[[#This Row],[Campo]]</f>
        <v>lt825_mthd_usd_instrmntordem</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t="s">
        <v>1968</v>
      </c>
      <c r="Q1189" s="152"/>
      <c r="R1189" s="152">
        <v>45593</v>
      </c>
      <c r="S1189" s="152"/>
      <c r="T1189" s="152">
        <v>45593</v>
      </c>
      <c r="U1189" s="152"/>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390</v>
      </c>
      <c r="G1190" s="39" t="s">
        <v>211</v>
      </c>
      <c r="H1190" s="59" t="str">
        <f>Table1[[#This Row],[Tabela]]&amp;Table1[[#This Row],[Campo]]</f>
        <v>lt825_mthd_usd_instrmntordem</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t="s">
        <v>1968</v>
      </c>
      <c r="Q1190" s="152"/>
      <c r="R1190" s="152">
        <v>45593</v>
      </c>
      <c r="S1190" s="152"/>
      <c r="T1190" s="152">
        <v>45593</v>
      </c>
      <c r="U1190" s="152"/>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390</v>
      </c>
      <c r="G1191" s="40" t="s">
        <v>392</v>
      </c>
      <c r="H1191" s="60" t="str">
        <f>Table1[[#This Row],[Tabela]]&amp;Table1[[#This Row],[Campo]]</f>
        <v>lt825_mthd_usd_instrmnttabela</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t="s">
        <v>1968</v>
      </c>
      <c r="Q1191" s="152"/>
      <c r="R1191" s="152">
        <v>45593</v>
      </c>
      <c r="S1191" s="152"/>
      <c r="T1191" s="152">
        <v>45593</v>
      </c>
      <c r="U1191" s="152"/>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390</v>
      </c>
      <c r="G1192" s="39" t="s">
        <v>392</v>
      </c>
      <c r="H1192" s="59" t="str">
        <f>Table1[[#This Row],[Tabela]]&amp;Table1[[#This Row],[Campo]]</f>
        <v>lt825_mthd_usd_instrmnttabela</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t="s">
        <v>1968</v>
      </c>
      <c r="Q1192" s="152"/>
      <c r="R1192" s="152">
        <v>45593</v>
      </c>
      <c r="S1192" s="152"/>
      <c r="T1192" s="152">
        <v>45593</v>
      </c>
      <c r="U1192" s="152"/>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390</v>
      </c>
      <c r="G1193" s="39" t="s">
        <v>392</v>
      </c>
      <c r="H1193" s="59" t="str">
        <f>Table1[[#This Row],[Tabela]]&amp;Table1[[#This Row],[Campo]]</f>
        <v>lt825_mthd_usd_instrmnttabela</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t="s">
        <v>1968</v>
      </c>
      <c r="Q1193" s="152"/>
      <c r="R1193" s="152">
        <v>45593</v>
      </c>
      <c r="S1193" s="152"/>
      <c r="T1193" s="152">
        <v>45593</v>
      </c>
      <c r="U1193" s="152"/>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390</v>
      </c>
      <c r="G1194" s="38" t="s">
        <v>320</v>
      </c>
      <c r="H1194" s="60" t="str">
        <f>Table1[[#This Row],[Tabela]]&amp;Table1[[#This Row],[Campo]]</f>
        <v>lt825_mthd_usd_instrmntorigem_scp1_emss</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t="s">
        <v>1381</v>
      </c>
      <c r="Q1194" s="152"/>
      <c r="R1194" s="152">
        <v>45593</v>
      </c>
      <c r="S1194" s="152"/>
      <c r="T1194" s="152">
        <v>45593</v>
      </c>
      <c r="U1194" s="152"/>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390</v>
      </c>
      <c r="G1195" s="39" t="s">
        <v>320</v>
      </c>
      <c r="H1195" s="59" t="str">
        <f>Table1[[#This Row],[Tabela]]&amp;Table1[[#This Row],[Campo]]</f>
        <v>lt825_mthd_usd_instrmntorigem_scp1_emss</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t="s">
        <v>1381</v>
      </c>
      <c r="Q1195" s="152"/>
      <c r="R1195" s="152">
        <v>45593</v>
      </c>
      <c r="S1195" s="152"/>
      <c r="T1195" s="152">
        <v>45593</v>
      </c>
      <c r="U1195" s="152"/>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390</v>
      </c>
      <c r="G1196" s="39" t="s">
        <v>320</v>
      </c>
      <c r="H1196" s="59" t="str">
        <f>Table1[[#This Row],[Tabela]]&amp;Table1[[#This Row],[Campo]]</f>
        <v>lt825_mthd_usd_instrmntorigem_scp1_emss</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t="s">
        <v>1381</v>
      </c>
      <c r="Q1196" s="152"/>
      <c r="R1196" s="152">
        <v>45593</v>
      </c>
      <c r="S1196" s="152"/>
      <c r="T1196" s="152">
        <v>45593</v>
      </c>
      <c r="U1196" s="152"/>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390</v>
      </c>
      <c r="G1197" s="38" t="s">
        <v>321</v>
      </c>
      <c r="H1197" s="60" t="str">
        <f>Table1[[#This Row],[Tabela]]&amp;Table1[[#This Row],[Campo]]</f>
        <v>lt825_mthd_usd_instrmntorigem_scp2_emss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t="s">
        <v>1381</v>
      </c>
      <c r="Q1197" s="152"/>
      <c r="R1197" s="152">
        <v>45593</v>
      </c>
      <c r="S1197" s="152"/>
      <c r="T1197" s="152">
        <v>45593</v>
      </c>
      <c r="U1197" s="152"/>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390</v>
      </c>
      <c r="G1198" s="39" t="s">
        <v>321</v>
      </c>
      <c r="H1198" s="59" t="str">
        <f>Table1[[#This Row],[Tabela]]&amp;Table1[[#This Row],[Campo]]</f>
        <v>lt825_mthd_usd_instrmntorigem_scp2_emss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t="s">
        <v>1381</v>
      </c>
      <c r="Q1198" s="152"/>
      <c r="R1198" s="152">
        <v>45593</v>
      </c>
      <c r="S1198" s="152"/>
      <c r="T1198" s="152">
        <v>45593</v>
      </c>
      <c r="U1198" s="152"/>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390</v>
      </c>
      <c r="G1199" s="39" t="s">
        <v>321</v>
      </c>
      <c r="H1199" s="59" t="str">
        <f>Table1[[#This Row],[Tabela]]&amp;Table1[[#This Row],[Campo]]</f>
        <v>lt825_mthd_usd_instrmntorigem_scp2_emss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t="s">
        <v>1381</v>
      </c>
      <c r="Q1199" s="152"/>
      <c r="R1199" s="152">
        <v>45593</v>
      </c>
      <c r="S1199" s="152"/>
      <c r="T1199" s="152">
        <v>45593</v>
      </c>
      <c r="U1199" s="152"/>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390</v>
      </c>
      <c r="G1200" s="38" t="s">
        <v>322</v>
      </c>
      <c r="H1200" s="60" t="str">
        <f>Table1[[#This Row],[Tabela]]&amp;Table1[[#This Row],[Campo]]</f>
        <v>lt825_mthd_usd_instrmntorigem_scp3_emss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t="s">
        <v>1381</v>
      </c>
      <c r="Q1200" s="152"/>
      <c r="R1200" s="152">
        <v>45593</v>
      </c>
      <c r="S1200" s="152"/>
      <c r="T1200" s="152">
        <v>45593</v>
      </c>
      <c r="U1200" s="152"/>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390</v>
      </c>
      <c r="G1201" s="39" t="s">
        <v>322</v>
      </c>
      <c r="H1201" s="59" t="str">
        <f>Table1[[#This Row],[Tabela]]&amp;Table1[[#This Row],[Campo]]</f>
        <v>lt825_mthd_usd_instrmntorigem_scp3_emss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t="s">
        <v>1381</v>
      </c>
      <c r="Q1201" s="152"/>
      <c r="R1201" s="152">
        <v>45593</v>
      </c>
      <c r="S1201" s="152"/>
      <c r="T1201" s="152">
        <v>45593</v>
      </c>
      <c r="U1201" s="152"/>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390</v>
      </c>
      <c r="G1202" s="39" t="s">
        <v>322</v>
      </c>
      <c r="H1202" s="59" t="str">
        <f>Table1[[#This Row],[Tabela]]&amp;Table1[[#This Row],[Campo]]</f>
        <v>lt825_mthd_usd_instrmntorigem_scp3_emss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t="s">
        <v>1381</v>
      </c>
      <c r="Q1202" s="152"/>
      <c r="R1202" s="152">
        <v>45593</v>
      </c>
      <c r="S1202" s="152"/>
      <c r="T1202" s="152">
        <v>45593</v>
      </c>
      <c r="U1202" s="152"/>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390</v>
      </c>
      <c r="G1203" s="38" t="s">
        <v>386</v>
      </c>
      <c r="H1203" s="60" t="str">
        <f>Table1[[#This Row],[Tabela]]&amp;Table1[[#This Row],[Campo]]</f>
        <v>lt825_mthd_usd_instrmntmthd_usd_instrmnt_scp_1</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t="s">
        <v>1381</v>
      </c>
      <c r="Q1203" s="152"/>
      <c r="R1203" s="152">
        <v>45593</v>
      </c>
      <c r="S1203" s="152"/>
      <c r="T1203" s="152">
        <v>45593</v>
      </c>
      <c r="U1203" s="152"/>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390</v>
      </c>
      <c r="G1204" s="39" t="s">
        <v>386</v>
      </c>
      <c r="H1204" s="59" t="str">
        <f>Table1[[#This Row],[Tabela]]&amp;Table1[[#This Row],[Campo]]</f>
        <v>lt825_mthd_usd_instrmntmthd_usd_instrmnt_scp_1</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t="s">
        <v>1381</v>
      </c>
      <c r="Q1204" s="152"/>
      <c r="R1204" s="152">
        <v>45593</v>
      </c>
      <c r="S1204" s="152"/>
      <c r="T1204" s="152">
        <v>45593</v>
      </c>
      <c r="U1204" s="152"/>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t="s">
        <v>1381</v>
      </c>
      <c r="Q1205" s="152"/>
      <c r="R1205" s="152">
        <v>45593</v>
      </c>
      <c r="S1205" s="152"/>
      <c r="T1205" s="152">
        <v>45593</v>
      </c>
      <c r="U1205" s="152"/>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390</v>
      </c>
      <c r="G1206" s="38" t="s">
        <v>387</v>
      </c>
      <c r="H1206" s="60" t="str">
        <f>Table1[[#This Row],[Tabela]]&amp;Table1[[#This Row],[Campo]]</f>
        <v>lt825_mthd_usd_instrmntmthd_usd_instrmnt_scp_2</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t="s">
        <v>1381</v>
      </c>
      <c r="Q1206" s="152"/>
      <c r="R1206" s="152">
        <v>45593</v>
      </c>
      <c r="S1206" s="152"/>
      <c r="T1206" s="152">
        <v>45593</v>
      </c>
      <c r="U1206" s="152"/>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390</v>
      </c>
      <c r="G1207" s="39" t="s">
        <v>387</v>
      </c>
      <c r="H1207" s="59" t="str">
        <f>Table1[[#This Row],[Tabela]]&amp;Table1[[#This Row],[Campo]]</f>
        <v>lt825_mthd_usd_instrmntmthd_usd_instrmnt_scp_2</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t="s">
        <v>1381</v>
      </c>
      <c r="Q1207" s="152"/>
      <c r="R1207" s="152">
        <v>45593</v>
      </c>
      <c r="S1207" s="152"/>
      <c r="T1207" s="152">
        <v>45593</v>
      </c>
      <c r="U1207" s="152"/>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t="s">
        <v>1381</v>
      </c>
      <c r="Q1208" s="152"/>
      <c r="R1208" s="152">
        <v>45593</v>
      </c>
      <c r="S1208" s="152"/>
      <c r="T1208" s="152">
        <v>45593</v>
      </c>
      <c r="U1208" s="152"/>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390</v>
      </c>
      <c r="G1209" s="38" t="s">
        <v>388</v>
      </c>
      <c r="H1209" s="60" t="str">
        <f>Table1[[#This Row],[Tabela]]&amp;Table1[[#This Row],[Campo]]</f>
        <v>lt825_mthd_usd_instrmntmthd_usd_instrmnt_scp_3</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t="s">
        <v>1381</v>
      </c>
      <c r="Q1209" s="152"/>
      <c r="R1209" s="152">
        <v>45593</v>
      </c>
      <c r="S1209" s="152"/>
      <c r="T1209" s="152">
        <v>45593</v>
      </c>
      <c r="U1209" s="152"/>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390</v>
      </c>
      <c r="G1210" s="39" t="s">
        <v>388</v>
      </c>
      <c r="H1210" s="59" t="str">
        <f>Table1[[#This Row],[Tabela]]&amp;Table1[[#This Row],[Campo]]</f>
        <v>lt825_mthd_usd_instrmntmthd_usd_instrmnt_scp_3</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t="s">
        <v>1381</v>
      </c>
      <c r="Q1210" s="152"/>
      <c r="R1210" s="152">
        <v>45593</v>
      </c>
      <c r="S1210" s="152"/>
      <c r="T1210" s="152">
        <v>45593</v>
      </c>
      <c r="U1210" s="152"/>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t="s">
        <v>1381</v>
      </c>
      <c r="Q1211" s="152"/>
      <c r="R1211" s="152">
        <v>45593</v>
      </c>
      <c r="S1211" s="152"/>
      <c r="T1211" s="152">
        <v>45593</v>
      </c>
      <c r="U1211" s="152"/>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393</v>
      </c>
      <c r="G1212" s="40" t="s">
        <v>391</v>
      </c>
      <c r="H1212" s="60" t="str">
        <f>Table1[[#This Row],[Tabela]]&amp;Table1[[#This Row],[Campo]]</f>
        <v>lt826_esg_sbsctrambito</v>
      </c>
      <c r="I1212" s="2" t="s">
        <v>614</v>
      </c>
      <c r="J1212" s="45">
        <f>VLOOKUP(Table1[[#This Row],[Status]],Auxiliar!$B$16:$C$24,2,0)</f>
        <v>1</v>
      </c>
      <c r="K1212" s="45" t="s">
        <v>1266</v>
      </c>
      <c r="L1212" s="46" t="s">
        <v>1272</v>
      </c>
      <c r="M1212" s="21" t="s">
        <v>1273</v>
      </c>
      <c r="N1212" s="48">
        <v>45581</v>
      </c>
      <c r="O1212" s="21">
        <f>INDEX(Auxiliar!$D$5:$F$13,MATCH(Table1[[#This Row],[Tipologia_Testes]],Auxiliar!$B$5:$B$13,0),MATCH(Table1[[#This Row],[Complexidade]],Auxiliar!$D$4:$F$4,0))</f>
        <v>2</v>
      </c>
      <c r="P1212" s="43" t="s">
        <v>1359</v>
      </c>
      <c r="Q1212" s="152"/>
      <c r="R1212" s="152">
        <v>45261</v>
      </c>
      <c r="S1212" s="152"/>
      <c r="T1212" s="152"/>
      <c r="U1212" s="152"/>
      <c r="V1212" s="152"/>
      <c r="W1212" s="2">
        <f>VLOOKUP(Table1[[#This Row],[Status]],Auxiliar!$B$16:$D$24,3,0)*Table1[[#This Row],[Estimação (horas)]]</f>
        <v>2</v>
      </c>
      <c r="X1212" s="114"/>
    </row>
    <row r="1213" spans="2:24" ht="17.7" hidden="1" customHeight="1">
      <c r="B1213" s="39" t="s">
        <v>26</v>
      </c>
      <c r="C1213" s="39" t="s">
        <v>26</v>
      </c>
      <c r="D1213" s="2" t="s">
        <v>38</v>
      </c>
      <c r="E1213" s="39" t="s">
        <v>38</v>
      </c>
      <c r="F1213" s="39" t="s">
        <v>393</v>
      </c>
      <c r="G1213" s="39" t="s">
        <v>391</v>
      </c>
      <c r="H1213" s="59" t="str">
        <f>Table1[[#This Row],[Tabela]]&amp;Table1[[#This Row],[Campo]]</f>
        <v>lt826_esg_sbsctrambito</v>
      </c>
      <c r="I1213" s="2" t="s">
        <v>614</v>
      </c>
      <c r="J1213" s="45">
        <f>VLOOKUP(Table1[[#This Row],[Status]],Auxiliar!$B$16:$C$24,2,0)</f>
        <v>1</v>
      </c>
      <c r="K1213" s="45" t="s">
        <v>1267</v>
      </c>
      <c r="L1213" s="46" t="s">
        <v>1272</v>
      </c>
      <c r="M1213" s="21" t="s">
        <v>1273</v>
      </c>
      <c r="N1213" s="48">
        <v>45581</v>
      </c>
      <c r="O1213" s="21">
        <f>INDEX(Auxiliar!$D$5:$F$13,MATCH(Table1[[#This Row],[Tipologia_Testes]],Auxiliar!$B$5:$B$13,0),MATCH(Table1[[#This Row],[Complexidade]],Auxiliar!$D$4:$F$4,0))</f>
        <v>2</v>
      </c>
      <c r="P1213" s="43" t="s">
        <v>1359</v>
      </c>
      <c r="Q1213" s="152"/>
      <c r="R1213" s="152">
        <v>45261</v>
      </c>
      <c r="S1213" s="152"/>
      <c r="T1213" s="152"/>
      <c r="U1213" s="152"/>
      <c r="V1213" s="152"/>
      <c r="W1213" s="2">
        <f>VLOOKUP(Table1[[#This Row],[Status]],Auxiliar!$B$16:$D$24,3,0)*Table1[[#This Row],[Estimação (horas)]]</f>
        <v>2</v>
      </c>
      <c r="X1213" s="114"/>
    </row>
    <row r="1214" spans="2:24" ht="17.7" hidden="1" customHeight="1">
      <c r="B1214" s="39" t="s">
        <v>26</v>
      </c>
      <c r="C1214" s="39" t="s">
        <v>26</v>
      </c>
      <c r="D1214" s="2" t="s">
        <v>38</v>
      </c>
      <c r="E1214" s="39" t="s">
        <v>38</v>
      </c>
      <c r="F1214" s="39" t="s">
        <v>393</v>
      </c>
      <c r="G1214" s="39" t="s">
        <v>391</v>
      </c>
      <c r="H1214" s="59" t="str">
        <f>Table1[[#This Row],[Tabela]]&amp;Table1[[#This Row],[Campo]]</f>
        <v>lt826_esg_sbsctrambito</v>
      </c>
      <c r="I1214" s="2" t="s">
        <v>614</v>
      </c>
      <c r="J1214" s="45">
        <f>VLOOKUP(Table1[[#This Row],[Status]],Auxiliar!$B$16:$C$24,2,0)</f>
        <v>1</v>
      </c>
      <c r="K1214" s="45" t="s">
        <v>1269</v>
      </c>
      <c r="L1214" s="46" t="s">
        <v>1272</v>
      </c>
      <c r="M1214" s="21" t="s">
        <v>1273</v>
      </c>
      <c r="N1214" s="48">
        <v>45581</v>
      </c>
      <c r="O1214" s="21">
        <f>INDEX(Auxiliar!$D$5:$F$13,MATCH(Table1[[#This Row],[Tipologia_Testes]],Auxiliar!$B$5:$B$13,0),MATCH(Table1[[#This Row],[Complexidade]],Auxiliar!$D$4:$F$4,0))</f>
        <v>0.1</v>
      </c>
      <c r="P1214" s="43" t="s">
        <v>1359</v>
      </c>
      <c r="Q1214" s="152"/>
      <c r="R1214" s="152">
        <v>45261</v>
      </c>
      <c r="S1214" s="152"/>
      <c r="T1214" s="152"/>
      <c r="U1214" s="152"/>
      <c r="V1214" s="152"/>
      <c r="W1214" s="2">
        <f>VLOOKUP(Table1[[#This Row],[Status]],Auxiliar!$B$16:$D$24,3,0)*Table1[[#This Row],[Estimação (horas)]]</f>
        <v>0.1</v>
      </c>
      <c r="X1214" s="114"/>
    </row>
    <row r="1215" spans="2:24" ht="17.7" hidden="1" customHeight="1">
      <c r="B1215" s="39" t="s">
        <v>26</v>
      </c>
      <c r="C1215" s="39" t="s">
        <v>26</v>
      </c>
      <c r="D1215" s="2" t="s">
        <v>38</v>
      </c>
      <c r="E1215" s="40" t="s">
        <v>38</v>
      </c>
      <c r="F1215" s="40" t="s">
        <v>393</v>
      </c>
      <c r="G1215" s="40" t="s">
        <v>208</v>
      </c>
      <c r="H1215" s="60" t="str">
        <f>Table1[[#This Row],[Tabela]]&amp;Table1[[#This Row],[Campo]]</f>
        <v>lt826_esg_sbsctrref_date</v>
      </c>
      <c r="I1215" s="2" t="s">
        <v>614</v>
      </c>
      <c r="J1215" s="45">
        <f>VLOOKUP(Table1[[#This Row],[Status]],Auxiliar!$B$16:$C$24,2,0)</f>
        <v>1</v>
      </c>
      <c r="K1215" s="45" t="s">
        <v>1266</v>
      </c>
      <c r="L1215" s="46" t="s">
        <v>1272</v>
      </c>
      <c r="M1215" s="21" t="s">
        <v>1273</v>
      </c>
      <c r="N1215" s="48">
        <v>45581</v>
      </c>
      <c r="O1215" s="21">
        <f>INDEX(Auxiliar!$D$5:$F$13,MATCH(Table1[[#This Row],[Tipologia_Testes]],Auxiliar!$B$5:$B$13,0),MATCH(Table1[[#This Row],[Complexidade]],Auxiliar!$D$4:$F$4,0))</f>
        <v>2</v>
      </c>
      <c r="P1215" s="43" t="s">
        <v>1359</v>
      </c>
      <c r="Q1215" s="152"/>
      <c r="R1215" s="152">
        <v>45261</v>
      </c>
      <c r="S1215" s="152"/>
      <c r="T1215" s="152"/>
      <c r="U1215" s="152"/>
      <c r="V1215" s="152"/>
      <c r="W1215" s="2">
        <f>VLOOKUP(Table1[[#This Row],[Status]],Auxiliar!$B$16:$D$24,3,0)*Table1[[#This Row],[Estimação (horas)]]</f>
        <v>2</v>
      </c>
      <c r="X1215" s="114"/>
    </row>
    <row r="1216" spans="2:24" ht="17.7" hidden="1" customHeight="1">
      <c r="B1216" s="39" t="s">
        <v>26</v>
      </c>
      <c r="C1216" s="39" t="s">
        <v>26</v>
      </c>
      <c r="D1216" s="2" t="s">
        <v>38</v>
      </c>
      <c r="E1216" s="39" t="s">
        <v>38</v>
      </c>
      <c r="F1216" s="39" t="s">
        <v>393</v>
      </c>
      <c r="G1216" s="39" t="s">
        <v>208</v>
      </c>
      <c r="H1216" s="59" t="str">
        <f>Table1[[#This Row],[Tabela]]&amp;Table1[[#This Row],[Campo]]</f>
        <v>lt826_esg_sbsctrref_date</v>
      </c>
      <c r="I1216" s="2" t="s">
        <v>614</v>
      </c>
      <c r="J1216" s="45">
        <f>VLOOKUP(Table1[[#This Row],[Status]],Auxiliar!$B$16:$C$24,2,0)</f>
        <v>1</v>
      </c>
      <c r="K1216" s="45" t="s">
        <v>1267</v>
      </c>
      <c r="L1216" s="46" t="s">
        <v>1272</v>
      </c>
      <c r="M1216" s="21" t="s">
        <v>1273</v>
      </c>
      <c r="N1216" s="48">
        <v>45581</v>
      </c>
      <c r="O1216" s="21">
        <f>INDEX(Auxiliar!$D$5:$F$13,MATCH(Table1[[#This Row],[Tipologia_Testes]],Auxiliar!$B$5:$B$13,0),MATCH(Table1[[#This Row],[Complexidade]],Auxiliar!$D$4:$F$4,0))</f>
        <v>2</v>
      </c>
      <c r="P1216" s="43" t="s">
        <v>1359</v>
      </c>
      <c r="Q1216" s="152"/>
      <c r="R1216" s="152">
        <v>45261</v>
      </c>
      <c r="S1216" s="152"/>
      <c r="T1216" s="152"/>
      <c r="U1216" s="152"/>
      <c r="V1216" s="152"/>
      <c r="W1216" s="2">
        <f>VLOOKUP(Table1[[#This Row],[Status]],Auxiliar!$B$16:$D$24,3,0)*Table1[[#This Row],[Estimação (horas)]]</f>
        <v>2</v>
      </c>
      <c r="X1216" s="114"/>
    </row>
    <row r="1217" spans="2:24" ht="17.7" hidden="1" customHeight="1">
      <c r="B1217" s="39" t="s">
        <v>26</v>
      </c>
      <c r="C1217" s="39" t="s">
        <v>26</v>
      </c>
      <c r="D1217" s="2" t="s">
        <v>38</v>
      </c>
      <c r="E1217" s="39" t="s">
        <v>38</v>
      </c>
      <c r="F1217" s="39" t="s">
        <v>393</v>
      </c>
      <c r="G1217" s="39" t="s">
        <v>208</v>
      </c>
      <c r="H1217" s="59" t="str">
        <f>Table1[[#This Row],[Tabela]]&amp;Table1[[#This Row],[Campo]]</f>
        <v>lt826_esg_sbsctrref_date</v>
      </c>
      <c r="I1217" s="2" t="s">
        <v>614</v>
      </c>
      <c r="J1217" s="45">
        <f>VLOOKUP(Table1[[#This Row],[Status]],Auxiliar!$B$16:$C$24,2,0)</f>
        <v>1</v>
      </c>
      <c r="K1217" s="45" t="s">
        <v>1269</v>
      </c>
      <c r="L1217" s="46" t="s">
        <v>1272</v>
      </c>
      <c r="M1217" s="21" t="s">
        <v>1273</v>
      </c>
      <c r="N1217" s="48">
        <v>45581</v>
      </c>
      <c r="O1217" s="21">
        <f>INDEX(Auxiliar!$D$5:$F$13,MATCH(Table1[[#This Row],[Tipologia_Testes]],Auxiliar!$B$5:$B$13,0),MATCH(Table1[[#This Row],[Complexidade]],Auxiliar!$D$4:$F$4,0))</f>
        <v>0.1</v>
      </c>
      <c r="P1217" s="43" t="s">
        <v>1359</v>
      </c>
      <c r="Q1217" s="152"/>
      <c r="R1217" s="152">
        <v>45261</v>
      </c>
      <c r="S1217" s="152"/>
      <c r="T1217" s="152"/>
      <c r="U1217" s="152"/>
      <c r="V1217" s="152"/>
      <c r="W1217" s="2">
        <f>VLOOKUP(Table1[[#This Row],[Status]],Auxiliar!$B$16:$D$24,3,0)*Table1[[#This Row],[Estimação (horas)]]</f>
        <v>0.1</v>
      </c>
      <c r="X1217" s="114"/>
    </row>
    <row r="1218" spans="2:24" ht="17.7" hidden="1" customHeight="1">
      <c r="B1218" s="39" t="s">
        <v>26</v>
      </c>
      <c r="C1218" s="39" t="s">
        <v>26</v>
      </c>
      <c r="D1218" s="2" t="s">
        <v>38</v>
      </c>
      <c r="E1218" s="40" t="s">
        <v>38</v>
      </c>
      <c r="F1218" s="40" t="s">
        <v>393</v>
      </c>
      <c r="G1218" s="40" t="s">
        <v>211</v>
      </c>
      <c r="H1218" s="60" t="str">
        <f>Table1[[#This Row],[Tabela]]&amp;Table1[[#This Row],[Campo]]</f>
        <v>lt826_esg_sbsctrordem</v>
      </c>
      <c r="I1218" s="2" t="s">
        <v>614</v>
      </c>
      <c r="J1218" s="45">
        <f>VLOOKUP(Table1[[#This Row],[Status]],Auxiliar!$B$16:$C$24,2,0)</f>
        <v>1</v>
      </c>
      <c r="K1218" s="45" t="s">
        <v>1266</v>
      </c>
      <c r="L1218" s="46" t="s">
        <v>1272</v>
      </c>
      <c r="M1218" s="21" t="s">
        <v>1273</v>
      </c>
      <c r="N1218" s="48">
        <v>45581</v>
      </c>
      <c r="O1218" s="21">
        <f>INDEX(Auxiliar!$D$5:$F$13,MATCH(Table1[[#This Row],[Tipologia_Testes]],Auxiliar!$B$5:$B$13,0),MATCH(Table1[[#This Row],[Complexidade]],Auxiliar!$D$4:$F$4,0))</f>
        <v>2</v>
      </c>
      <c r="P1218" s="43" t="s">
        <v>1359</v>
      </c>
      <c r="Q1218" s="152"/>
      <c r="R1218" s="152">
        <v>45261</v>
      </c>
      <c r="S1218" s="152"/>
      <c r="T1218" s="152"/>
      <c r="U1218" s="152"/>
      <c r="V1218" s="152"/>
      <c r="W1218" s="2">
        <f>VLOOKUP(Table1[[#This Row],[Status]],Auxiliar!$B$16:$D$24,3,0)*Table1[[#This Row],[Estimação (horas)]]</f>
        <v>2</v>
      </c>
      <c r="X1218" s="114"/>
    </row>
    <row r="1219" spans="2:24" ht="17.7" hidden="1" customHeight="1">
      <c r="B1219" s="39" t="s">
        <v>26</v>
      </c>
      <c r="C1219" s="39" t="s">
        <v>26</v>
      </c>
      <c r="D1219" s="2" t="s">
        <v>38</v>
      </c>
      <c r="E1219" s="39" t="s">
        <v>38</v>
      </c>
      <c r="F1219" s="39" t="s">
        <v>393</v>
      </c>
      <c r="G1219" s="39" t="s">
        <v>211</v>
      </c>
      <c r="H1219" s="59" t="str">
        <f>Table1[[#This Row],[Tabela]]&amp;Table1[[#This Row],[Campo]]</f>
        <v>lt826_esg_sbsctrordem</v>
      </c>
      <c r="I1219" s="2" t="s">
        <v>614</v>
      </c>
      <c r="J1219" s="45">
        <f>VLOOKUP(Table1[[#This Row],[Status]],Auxiliar!$B$16:$C$24,2,0)</f>
        <v>1</v>
      </c>
      <c r="K1219" s="45" t="s">
        <v>1267</v>
      </c>
      <c r="L1219" s="46" t="s">
        <v>1272</v>
      </c>
      <c r="M1219" s="21" t="s">
        <v>1273</v>
      </c>
      <c r="N1219" s="48">
        <v>45581</v>
      </c>
      <c r="O1219" s="21">
        <f>INDEX(Auxiliar!$D$5:$F$13,MATCH(Table1[[#This Row],[Tipologia_Testes]],Auxiliar!$B$5:$B$13,0),MATCH(Table1[[#This Row],[Complexidade]],Auxiliar!$D$4:$F$4,0))</f>
        <v>2</v>
      </c>
      <c r="P1219" s="43" t="s">
        <v>1359</v>
      </c>
      <c r="Q1219" s="152"/>
      <c r="R1219" s="152">
        <v>45261</v>
      </c>
      <c r="S1219" s="152"/>
      <c r="T1219" s="152"/>
      <c r="U1219" s="152"/>
      <c r="V1219" s="152"/>
      <c r="W1219" s="2">
        <f>VLOOKUP(Table1[[#This Row],[Status]],Auxiliar!$B$16:$D$24,3,0)*Table1[[#This Row],[Estimação (horas)]]</f>
        <v>2</v>
      </c>
      <c r="X1219" s="114"/>
    </row>
    <row r="1220" spans="2:24" ht="17.7" hidden="1" customHeight="1">
      <c r="B1220" s="39" t="s">
        <v>26</v>
      </c>
      <c r="C1220" s="39" t="s">
        <v>26</v>
      </c>
      <c r="D1220" s="2" t="s">
        <v>38</v>
      </c>
      <c r="E1220" s="39" t="s">
        <v>38</v>
      </c>
      <c r="F1220" s="39" t="s">
        <v>393</v>
      </c>
      <c r="G1220" s="39" t="s">
        <v>211</v>
      </c>
      <c r="H1220" s="59" t="str">
        <f>Table1[[#This Row],[Tabela]]&amp;Table1[[#This Row],[Campo]]</f>
        <v>lt826_esg_sbsctrordem</v>
      </c>
      <c r="I1220" s="2" t="s">
        <v>614</v>
      </c>
      <c r="J1220" s="45">
        <f>VLOOKUP(Table1[[#This Row],[Status]],Auxiliar!$B$16:$C$24,2,0)</f>
        <v>1</v>
      </c>
      <c r="K1220" s="45" t="s">
        <v>1269</v>
      </c>
      <c r="L1220" s="46" t="s">
        <v>1272</v>
      </c>
      <c r="M1220" s="21" t="s">
        <v>1273</v>
      </c>
      <c r="N1220" s="48">
        <v>45581</v>
      </c>
      <c r="O1220" s="21">
        <f>INDEX(Auxiliar!$D$5:$F$13,MATCH(Table1[[#This Row],[Tipologia_Testes]],Auxiliar!$B$5:$B$13,0),MATCH(Table1[[#This Row],[Complexidade]],Auxiliar!$D$4:$F$4,0))</f>
        <v>0.1</v>
      </c>
      <c r="P1220" s="43" t="s">
        <v>1359</v>
      </c>
      <c r="Q1220" s="152"/>
      <c r="R1220" s="152">
        <v>45261</v>
      </c>
      <c r="S1220" s="152"/>
      <c r="T1220" s="152"/>
      <c r="U1220" s="152"/>
      <c r="V1220" s="152"/>
      <c r="W1220" s="2">
        <f>VLOOKUP(Table1[[#This Row],[Status]],Auxiliar!$B$16:$D$24,3,0)*Table1[[#This Row],[Estimação (horas)]]</f>
        <v>0.1</v>
      </c>
      <c r="X1220" s="114"/>
    </row>
    <row r="1221" spans="2:24" ht="17.7" hidden="1" customHeight="1">
      <c r="B1221" s="39" t="s">
        <v>26</v>
      </c>
      <c r="C1221" s="39" t="s">
        <v>26</v>
      </c>
      <c r="D1221" s="2" t="s">
        <v>38</v>
      </c>
      <c r="E1221" s="40" t="s">
        <v>38</v>
      </c>
      <c r="F1221" s="40" t="s">
        <v>393</v>
      </c>
      <c r="G1221" s="38" t="s">
        <v>394</v>
      </c>
      <c r="H1221" s="60" t="str">
        <f>Table1[[#This Row],[Tabela]]&amp;Table1[[#This Row],[Campo]]</f>
        <v>lt826_esg_sbsctrnace_code</v>
      </c>
      <c r="I1221" s="2" t="s">
        <v>614</v>
      </c>
      <c r="J1221" s="45">
        <f>VLOOKUP(Table1[[#This Row],[Status]],Auxiliar!$B$16:$C$24,2,0)</f>
        <v>1</v>
      </c>
      <c r="K1221" s="45" t="s">
        <v>1266</v>
      </c>
      <c r="L1221" s="46" t="s">
        <v>1272</v>
      </c>
      <c r="M1221" s="21" t="s">
        <v>1273</v>
      </c>
      <c r="N1221" s="48">
        <v>45581</v>
      </c>
      <c r="O1221" s="21">
        <f>INDEX(Auxiliar!$D$5:$F$13,MATCH(Table1[[#This Row],[Tipologia_Testes]],Auxiliar!$B$5:$B$13,0),MATCH(Table1[[#This Row],[Complexidade]],Auxiliar!$D$4:$F$4,0))</f>
        <v>2</v>
      </c>
      <c r="P1221" s="43" t="s">
        <v>1359</v>
      </c>
      <c r="Q1221" s="152"/>
      <c r="R1221" s="152">
        <v>45261</v>
      </c>
      <c r="S1221" s="152"/>
      <c r="T1221" s="152"/>
      <c r="U1221" s="152"/>
      <c r="V1221" s="152"/>
      <c r="W1221" s="2">
        <f>VLOOKUP(Table1[[#This Row],[Status]],Auxiliar!$B$16:$D$24,3,0)*Table1[[#This Row],[Estimação (horas)]]</f>
        <v>2</v>
      </c>
      <c r="X1221" s="114"/>
    </row>
    <row r="1222" spans="2:24" ht="17.7" hidden="1" customHeight="1">
      <c r="B1222" s="39" t="s">
        <v>26</v>
      </c>
      <c r="C1222" s="39" t="s">
        <v>26</v>
      </c>
      <c r="D1222" s="2" t="s">
        <v>38</v>
      </c>
      <c r="E1222" s="39" t="s">
        <v>38</v>
      </c>
      <c r="F1222" s="39" t="s">
        <v>393</v>
      </c>
      <c r="G1222" s="39" t="s">
        <v>394</v>
      </c>
      <c r="H1222" s="59" t="str">
        <f>Table1[[#This Row],[Tabela]]&amp;Table1[[#This Row],[Campo]]</f>
        <v>lt826_esg_sbsctrnace_code</v>
      </c>
      <c r="I1222" s="2" t="s">
        <v>614</v>
      </c>
      <c r="J1222" s="45">
        <f>VLOOKUP(Table1[[#This Row],[Status]],Auxiliar!$B$16:$C$24,2,0)</f>
        <v>1</v>
      </c>
      <c r="K1222" s="45" t="s">
        <v>1267</v>
      </c>
      <c r="L1222" s="46" t="s">
        <v>1272</v>
      </c>
      <c r="M1222" s="21" t="s">
        <v>1273</v>
      </c>
      <c r="N1222" s="48">
        <v>45581</v>
      </c>
      <c r="O1222" s="21">
        <f>INDEX(Auxiliar!$D$5:$F$13,MATCH(Table1[[#This Row],[Tipologia_Testes]],Auxiliar!$B$5:$B$13,0),MATCH(Table1[[#This Row],[Complexidade]],Auxiliar!$D$4:$F$4,0))</f>
        <v>2</v>
      </c>
      <c r="P1222" s="43" t="s">
        <v>1359</v>
      </c>
      <c r="Q1222" s="152"/>
      <c r="R1222" s="152">
        <v>45261</v>
      </c>
      <c r="S1222" s="152"/>
      <c r="T1222" s="152"/>
      <c r="U1222" s="152"/>
      <c r="V1222" s="152"/>
      <c r="W1222" s="2">
        <f>VLOOKUP(Table1[[#This Row],[Status]],Auxiliar!$B$16:$D$24,3,0)*Table1[[#This Row],[Estimação (horas)]]</f>
        <v>2</v>
      </c>
      <c r="X1222" s="114"/>
    </row>
    <row r="1223" spans="2:24" ht="17.7" hidden="1" customHeight="1">
      <c r="B1223" s="39" t="s">
        <v>26</v>
      </c>
      <c r="C1223" s="39" t="s">
        <v>26</v>
      </c>
      <c r="D1223" s="2" t="s">
        <v>38</v>
      </c>
      <c r="E1223" s="39" t="s">
        <v>38</v>
      </c>
      <c r="F1223" s="39" t="s">
        <v>393</v>
      </c>
      <c r="G1223" s="39" t="s">
        <v>394</v>
      </c>
      <c r="H1223" s="59" t="str">
        <f>Table1[[#This Row],[Tabela]]&amp;Table1[[#This Row],[Campo]]</f>
        <v>lt826_esg_sbsctrnace_code</v>
      </c>
      <c r="I1223" s="2" t="s">
        <v>614</v>
      </c>
      <c r="J1223" s="45">
        <f>VLOOKUP(Table1[[#This Row],[Status]],Auxiliar!$B$16:$C$24,2,0)</f>
        <v>1</v>
      </c>
      <c r="K1223" s="45" t="s">
        <v>1269</v>
      </c>
      <c r="L1223" s="46" t="s">
        <v>1272</v>
      </c>
      <c r="M1223" s="21" t="s">
        <v>1273</v>
      </c>
      <c r="N1223" s="48">
        <v>45581</v>
      </c>
      <c r="O1223" s="21">
        <f>INDEX(Auxiliar!$D$5:$F$13,MATCH(Table1[[#This Row],[Tipologia_Testes]],Auxiliar!$B$5:$B$13,0),MATCH(Table1[[#This Row],[Complexidade]],Auxiliar!$D$4:$F$4,0))</f>
        <v>0.1</v>
      </c>
      <c r="P1223" s="43" t="s">
        <v>1359</v>
      </c>
      <c r="Q1223" s="152"/>
      <c r="R1223" s="152">
        <v>45261</v>
      </c>
      <c r="S1223" s="152"/>
      <c r="T1223" s="152"/>
      <c r="U1223" s="152"/>
      <c r="V1223" s="152"/>
      <c r="W1223" s="2">
        <f>VLOOKUP(Table1[[#This Row],[Status]],Auxiliar!$B$16:$D$24,3,0)*Table1[[#This Row],[Estimação (horas)]]</f>
        <v>0.1</v>
      </c>
      <c r="X1223" s="114"/>
    </row>
    <row r="1224" spans="2:24" ht="17.7" hidden="1" customHeight="1">
      <c r="B1224" s="39" t="s">
        <v>26</v>
      </c>
      <c r="C1224" s="39" t="s">
        <v>26</v>
      </c>
      <c r="D1224" s="2" t="s">
        <v>38</v>
      </c>
      <c r="E1224" s="40" t="s">
        <v>38</v>
      </c>
      <c r="F1224" s="40" t="s">
        <v>393</v>
      </c>
      <c r="G1224" s="38" t="s">
        <v>395</v>
      </c>
      <c r="H1224" s="60" t="str">
        <f>Table1[[#This Row],[Tabela]]&amp;Table1[[#This Row],[Campo]]</f>
        <v>lt826_esg_sbsctrcontraparte</v>
      </c>
      <c r="I1224" s="2" t="s">
        <v>614</v>
      </c>
      <c r="J1224" s="45">
        <f>VLOOKUP(Table1[[#This Row],[Status]],Auxiliar!$B$16:$C$24,2,0)</f>
        <v>1</v>
      </c>
      <c r="K1224" s="45" t="s">
        <v>1266</v>
      </c>
      <c r="L1224" s="46" t="s">
        <v>1272</v>
      </c>
      <c r="M1224" s="21" t="s">
        <v>1273</v>
      </c>
      <c r="N1224" s="48">
        <v>45581</v>
      </c>
      <c r="O1224" s="21">
        <f>INDEX(Auxiliar!$D$5:$F$13,MATCH(Table1[[#This Row],[Tipologia_Testes]],Auxiliar!$B$5:$B$13,0),MATCH(Table1[[#This Row],[Complexidade]],Auxiliar!$D$4:$F$4,0))</f>
        <v>2</v>
      </c>
      <c r="P1224" s="43" t="s">
        <v>1359</v>
      </c>
      <c r="Q1224" s="152"/>
      <c r="R1224" s="152">
        <v>45261</v>
      </c>
      <c r="S1224" s="152"/>
      <c r="T1224" s="152"/>
      <c r="U1224" s="152"/>
      <c r="V1224" s="152"/>
      <c r="W1224" s="2">
        <f>VLOOKUP(Table1[[#This Row],[Status]],Auxiliar!$B$16:$D$24,3,0)*Table1[[#This Row],[Estimação (horas)]]</f>
        <v>2</v>
      </c>
      <c r="X1224" s="114"/>
    </row>
    <row r="1225" spans="2:24" ht="17.7" hidden="1" customHeight="1">
      <c r="B1225" s="39" t="s">
        <v>26</v>
      </c>
      <c r="C1225" s="39" t="s">
        <v>26</v>
      </c>
      <c r="D1225" s="2" t="s">
        <v>38</v>
      </c>
      <c r="E1225" s="39" t="s">
        <v>38</v>
      </c>
      <c r="F1225" s="39" t="s">
        <v>393</v>
      </c>
      <c r="G1225" s="39" t="s">
        <v>395</v>
      </c>
      <c r="H1225" s="59" t="str">
        <f>Table1[[#This Row],[Tabela]]&amp;Table1[[#This Row],[Campo]]</f>
        <v>lt826_esg_sbsctrcontraparte</v>
      </c>
      <c r="I1225" s="2" t="s">
        <v>614</v>
      </c>
      <c r="J1225" s="45">
        <f>VLOOKUP(Table1[[#This Row],[Status]],Auxiliar!$B$16:$C$24,2,0)</f>
        <v>1</v>
      </c>
      <c r="K1225" s="45" t="s">
        <v>1267</v>
      </c>
      <c r="L1225" s="46" t="s">
        <v>1272</v>
      </c>
      <c r="M1225" s="21" t="s">
        <v>1273</v>
      </c>
      <c r="N1225" s="48">
        <v>45581</v>
      </c>
      <c r="O1225" s="21">
        <f>INDEX(Auxiliar!$D$5:$F$13,MATCH(Table1[[#This Row],[Tipologia_Testes]],Auxiliar!$B$5:$B$13,0),MATCH(Table1[[#This Row],[Complexidade]],Auxiliar!$D$4:$F$4,0))</f>
        <v>2</v>
      </c>
      <c r="P1225" s="43" t="s">
        <v>1359</v>
      </c>
      <c r="Q1225" s="152"/>
      <c r="R1225" s="152">
        <v>45261</v>
      </c>
      <c r="S1225" s="152"/>
      <c r="T1225" s="152"/>
      <c r="U1225" s="152"/>
      <c r="V1225" s="152"/>
      <c r="W1225" s="2">
        <f>VLOOKUP(Table1[[#This Row],[Status]],Auxiliar!$B$16:$D$24,3,0)*Table1[[#This Row],[Estimação (horas)]]</f>
        <v>2</v>
      </c>
      <c r="X1225" s="114"/>
    </row>
    <row r="1226" spans="2:24" ht="17.7" hidden="1" customHeight="1">
      <c r="B1226" s="39" t="s">
        <v>26</v>
      </c>
      <c r="C1226" s="39" t="s">
        <v>26</v>
      </c>
      <c r="D1226" s="2" t="s">
        <v>38</v>
      </c>
      <c r="E1226" s="39" t="s">
        <v>38</v>
      </c>
      <c r="F1226" s="39" t="s">
        <v>393</v>
      </c>
      <c r="G1226" s="39" t="s">
        <v>395</v>
      </c>
      <c r="H1226" s="59" t="str">
        <f>Table1[[#This Row],[Tabela]]&amp;Table1[[#This Row],[Campo]]</f>
        <v>lt826_esg_sbsctrcontraparte</v>
      </c>
      <c r="I1226" s="2" t="s">
        <v>614</v>
      </c>
      <c r="J1226" s="45">
        <f>VLOOKUP(Table1[[#This Row],[Status]],Auxiliar!$B$16:$C$24,2,0)</f>
        <v>1</v>
      </c>
      <c r="K1226" s="45" t="s">
        <v>1269</v>
      </c>
      <c r="L1226" s="46" t="s">
        <v>1272</v>
      </c>
      <c r="M1226" s="21" t="s">
        <v>1273</v>
      </c>
      <c r="N1226" s="48">
        <v>45581</v>
      </c>
      <c r="O1226" s="21">
        <f>INDEX(Auxiliar!$D$5:$F$13,MATCH(Table1[[#This Row],[Tipologia_Testes]],Auxiliar!$B$5:$B$13,0),MATCH(Table1[[#This Row],[Complexidade]],Auxiliar!$D$4:$F$4,0))</f>
        <v>0.1</v>
      </c>
      <c r="P1226" s="43" t="s">
        <v>1359</v>
      </c>
      <c r="Q1226" s="152"/>
      <c r="R1226" s="152">
        <v>45261</v>
      </c>
      <c r="S1226" s="152"/>
      <c r="T1226" s="152"/>
      <c r="U1226" s="152"/>
      <c r="V1226" s="152"/>
      <c r="W1226" s="2">
        <f>VLOOKUP(Table1[[#This Row],[Status]],Auxiliar!$B$16:$D$24,3,0)*Table1[[#This Row],[Estimação (horas)]]</f>
        <v>0.1</v>
      </c>
      <c r="X1226" s="114"/>
    </row>
    <row r="1227" spans="2:24" ht="17.7" hidden="1" customHeight="1">
      <c r="B1227" s="39" t="s">
        <v>26</v>
      </c>
      <c r="C1227" s="39" t="s">
        <v>26</v>
      </c>
      <c r="D1227" s="2" t="s">
        <v>38</v>
      </c>
      <c r="E1227" s="40" t="s">
        <v>38</v>
      </c>
      <c r="F1227" s="40" t="s">
        <v>393</v>
      </c>
      <c r="G1227" s="38" t="s">
        <v>396</v>
      </c>
      <c r="H1227" s="60" t="str">
        <f>Table1[[#This Row],[Tabela]]&amp;Table1[[#This Row],[Campo]]</f>
        <v>lt826_esg_sbsctrcnatureza_juri</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7" hidden="1" customHeight="1">
      <c r="B1228" s="39" t="s">
        <v>26</v>
      </c>
      <c r="C1228" s="39" t="s">
        <v>26</v>
      </c>
      <c r="D1228" s="2" t="s">
        <v>38</v>
      </c>
      <c r="E1228" s="39" t="s">
        <v>38</v>
      </c>
      <c r="F1228" s="39" t="s">
        <v>393</v>
      </c>
      <c r="G1228" s="39" t="s">
        <v>396</v>
      </c>
      <c r="H1228" s="59" t="str">
        <f>Table1[[#This Row],[Tabela]]&amp;Table1[[#This Row],[Campo]]</f>
        <v>lt826_esg_sbsctrcnatureza_juri</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7" hidden="1" customHeight="1">
      <c r="B1229" s="39" t="s">
        <v>26</v>
      </c>
      <c r="C1229" s="39" t="s">
        <v>26</v>
      </c>
      <c r="D1229" s="2" t="s">
        <v>38</v>
      </c>
      <c r="E1229" s="39" t="s">
        <v>38</v>
      </c>
      <c r="F1229" s="39" t="s">
        <v>393</v>
      </c>
      <c r="G1229" s="39" t="s">
        <v>396</v>
      </c>
      <c r="H1229" s="59" t="str">
        <f>Table1[[#This Row],[Tabela]]&amp;Table1[[#This Row],[Campo]]</f>
        <v>lt826_esg_sbsctrcnatureza_juri</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38" t="s">
        <v>397</v>
      </c>
      <c r="H1230" s="60" t="str">
        <f>Table1[[#This Row],[Tabela]]&amp;Table1[[#This Row],[Campo]]</f>
        <v>lt826_esg_sbsctridcomb</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397</v>
      </c>
      <c r="H1231" s="59" t="str">
        <f>Table1[[#This Row],[Tabela]]&amp;Table1[[#This Row],[Campo]]</f>
        <v>lt826_esg_sbsctridcomb</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397</v>
      </c>
      <c r="H1232" s="59" t="str">
        <f>Table1[[#This Row],[Tabela]]&amp;Table1[[#This Row],[Campo]]</f>
        <v>lt826_esg_sbsctridcomb</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38" t="s">
        <v>361</v>
      </c>
      <c r="H1233" s="60" t="str">
        <f>Table1[[#This Row],[Tabela]]&amp;Table1[[#This Row],[Campo]]</f>
        <v>lt826_esg_sbsctresg_sbsctr</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361</v>
      </c>
      <c r="H1234" s="59" t="str">
        <f>Table1[[#This Row],[Tabela]]&amp;Table1[[#This Row],[Campo]]</f>
        <v>lt826_esg_sbsctresg_sbsctr</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361</v>
      </c>
      <c r="H1235" s="59" t="str">
        <f>Table1[[#This Row],[Tabela]]&amp;Table1[[#This Row],[Campo]]</f>
        <v>lt826_esg_sbsctresg_sbsctr</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38" t="s">
        <v>398</v>
      </c>
      <c r="H1236" s="60" t="str">
        <f>Table1[[#This Row],[Tabela]]&amp;Table1[[#This Row],[Campo]]</f>
        <v>lt826_esg_sbsctrdescrição</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112" t="s">
        <v>38</v>
      </c>
      <c r="F1237" s="39" t="s">
        <v>393</v>
      </c>
      <c r="G1237" s="39" t="s">
        <v>398</v>
      </c>
      <c r="H1237" s="59" t="str">
        <f>Table1[[#This Row],[Tabela]]&amp;Table1[[#This Row],[Campo]]</f>
        <v>lt826_esg_sbsctrdescrição</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112" t="s">
        <v>38</v>
      </c>
      <c r="F1238" s="39" t="s">
        <v>393</v>
      </c>
      <c r="G1238" s="39" t="s">
        <v>398</v>
      </c>
      <c r="H1238" s="59" t="str">
        <f>Table1[[#This Row],[Tabela]]&amp;Table1[[#This Row],[Campo]]</f>
        <v>lt826_esg_sbsctrdescrição</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13" t="s">
        <v>400</v>
      </c>
      <c r="E1239" s="112" t="s">
        <v>38</v>
      </c>
      <c r="F1239" s="2" t="s">
        <v>380</v>
      </c>
      <c r="G1239" s="13" t="s">
        <v>399</v>
      </c>
      <c r="H1239" s="59" t="str">
        <f>Table1[[#This Row],[Tabela]]&amp;Table1[[#This Row],[Campo]]</f>
        <v>lt002_instrumentdt_rfrnc</v>
      </c>
      <c r="I1239" s="2" t="s">
        <v>614</v>
      </c>
      <c r="J1239" s="45">
        <f>VLOOKUP(Table1[[#This Row],[Status]],Auxiliar!$B$16:$C$24,2,0)</f>
        <v>1</v>
      </c>
      <c r="K1239" s="21" t="s">
        <v>1271</v>
      </c>
      <c r="L1239" s="46" t="s">
        <v>1272</v>
      </c>
      <c r="M1239" s="21" t="s">
        <v>1273</v>
      </c>
      <c r="N1239" s="48">
        <v>45506</v>
      </c>
      <c r="O1239" s="113">
        <v>0.1</v>
      </c>
      <c r="P1239" s="2"/>
      <c r="Q1239" s="152"/>
      <c r="R1239" s="152"/>
      <c r="S1239" s="152"/>
      <c r="T1239" s="152"/>
      <c r="U1239" s="152"/>
      <c r="V1239" s="152"/>
      <c r="W1239" s="2">
        <f>VLOOKUP(Table1[[#This Row],[Status]],Auxiliar!$B$16:$D$24,3,0)*Table1[[#This Row],[Estimação (horas)]]</f>
        <v>0.1</v>
      </c>
      <c r="X1239" s="206"/>
    </row>
    <row r="1240" spans="2:24" ht="17.7" hidden="1" customHeight="1">
      <c r="B1240" s="39" t="s">
        <v>26</v>
      </c>
      <c r="C1240" s="39" t="s">
        <v>26</v>
      </c>
      <c r="D1240" s="13" t="s">
        <v>400</v>
      </c>
      <c r="E1240" s="112" t="s">
        <v>38</v>
      </c>
      <c r="F1240" s="2" t="s">
        <v>380</v>
      </c>
      <c r="G1240" s="13" t="s">
        <v>401</v>
      </c>
      <c r="H1240" s="59" t="str">
        <f>Table1[[#This Row],[Tabela]]&amp;Table1[[#This Row],[Campo]]</f>
        <v>lt002_instrumentinstrmnt_id</v>
      </c>
      <c r="I1240" s="2" t="s">
        <v>614</v>
      </c>
      <c r="J1240" s="45">
        <f>VLOOKUP(Table1[[#This Row],[Status]],Auxiliar!$B$16:$C$24,2,0)</f>
        <v>1</v>
      </c>
      <c r="K1240" s="21" t="s">
        <v>1271</v>
      </c>
      <c r="L1240" s="46" t="s">
        <v>1272</v>
      </c>
      <c r="M1240" s="21" t="s">
        <v>1273</v>
      </c>
      <c r="N1240" s="48">
        <v>45506</v>
      </c>
      <c r="O1240" s="113">
        <v>0.1</v>
      </c>
      <c r="P1240" s="2"/>
      <c r="Q1240" s="152"/>
      <c r="R1240" s="152"/>
      <c r="S1240" s="152"/>
      <c r="T1240" s="152"/>
      <c r="U1240" s="152"/>
      <c r="V1240" s="152"/>
      <c r="W1240" s="2">
        <f>VLOOKUP(Table1[[#This Row],[Status]],Auxiliar!$B$16:$D$24,3,0)*Table1[[#This Row],[Estimação (horas)]]</f>
        <v>0.1</v>
      </c>
      <c r="X1240" s="206"/>
    </row>
    <row r="1241" spans="2:24" ht="17.7" hidden="1" customHeight="1">
      <c r="B1241" s="39" t="s">
        <v>26</v>
      </c>
      <c r="C1241" s="39" t="s">
        <v>26</v>
      </c>
      <c r="D1241" s="13" t="s">
        <v>400</v>
      </c>
      <c r="E1241" s="112" t="s">
        <v>38</v>
      </c>
      <c r="F1241" s="2" t="s">
        <v>380</v>
      </c>
      <c r="G1241" s="13" t="s">
        <v>402</v>
      </c>
      <c r="H1241" s="59" t="str">
        <f>Table1[[#This Row],[Tabela]]&amp;Table1[[#This Row],[Campo]]</f>
        <v>lt002_instrumentdt_incptn</v>
      </c>
      <c r="I1241" s="2" t="s">
        <v>614</v>
      </c>
      <c r="J1241" s="45">
        <f>VLOOKUP(Table1[[#This Row],[Status]],Auxiliar!$B$16:$C$24,2,0)</f>
        <v>1</v>
      </c>
      <c r="K1241" s="21" t="s">
        <v>1271</v>
      </c>
      <c r="L1241" s="46" t="s">
        <v>1272</v>
      </c>
      <c r="M1241" s="21" t="s">
        <v>1273</v>
      </c>
      <c r="N1241" s="48">
        <v>45506</v>
      </c>
      <c r="O1241" s="113">
        <v>0.1</v>
      </c>
      <c r="P1241" s="2"/>
      <c r="Q1241" s="152"/>
      <c r="R1241" s="152"/>
      <c r="S1241" s="152"/>
      <c r="T1241" s="152"/>
      <c r="U1241" s="152"/>
      <c r="V1241" s="152"/>
      <c r="W1241" s="2">
        <f>VLOOKUP(Table1[[#This Row],[Status]],Auxiliar!$B$16:$D$24,3,0)*Table1[[#This Row],[Estimação (horas)]]</f>
        <v>0.1</v>
      </c>
      <c r="X1241" s="206"/>
    </row>
    <row r="1242" spans="2:24" ht="17.7" hidden="1" customHeight="1">
      <c r="B1242" s="39" t="s">
        <v>26</v>
      </c>
      <c r="C1242" s="39" t="s">
        <v>26</v>
      </c>
      <c r="D1242" s="13" t="s">
        <v>400</v>
      </c>
      <c r="E1242" s="112" t="s">
        <v>38</v>
      </c>
      <c r="F1242" s="2" t="s">
        <v>380</v>
      </c>
      <c r="G1242" s="13" t="s">
        <v>403</v>
      </c>
      <c r="H1242" s="59" t="str">
        <f>Table1[[#This Row],[Tabela]]&amp;Table1[[#This Row],[Campo]]</f>
        <v>lt002_instrumentdflt_stts_instrmnt</v>
      </c>
      <c r="I1242" s="2" t="s">
        <v>614</v>
      </c>
      <c r="J1242" s="45">
        <f>VLOOKUP(Table1[[#This Row],[Status]],Auxiliar!$B$16:$C$24,2,0)</f>
        <v>1</v>
      </c>
      <c r="K1242" s="21" t="s">
        <v>1271</v>
      </c>
      <c r="L1242" s="46" t="s">
        <v>1272</v>
      </c>
      <c r="M1242" s="21" t="s">
        <v>1273</v>
      </c>
      <c r="N1242" s="48">
        <v>45509</v>
      </c>
      <c r="O1242" s="113">
        <v>0.1</v>
      </c>
      <c r="P1242" s="2"/>
      <c r="Q1242" s="152"/>
      <c r="R1242" s="152"/>
      <c r="S1242" s="152"/>
      <c r="T1242" s="152"/>
      <c r="U1242" s="152"/>
      <c r="V1242" s="152"/>
      <c r="W1242" s="2">
        <f>VLOOKUP(Table1[[#This Row],[Status]],Auxiliar!$B$16:$D$24,3,0)*Table1[[#This Row],[Estimação (horas)]]</f>
        <v>0.1</v>
      </c>
      <c r="X1242" s="206"/>
    </row>
    <row r="1243" spans="2:24" ht="17.7" hidden="1" customHeight="1">
      <c r="B1243" s="39" t="s">
        <v>26</v>
      </c>
      <c r="C1243" s="39" t="s">
        <v>26</v>
      </c>
      <c r="D1243" s="13" t="s">
        <v>400</v>
      </c>
      <c r="E1243" s="112" t="s">
        <v>38</v>
      </c>
      <c r="F1243" s="2" t="s">
        <v>380</v>
      </c>
      <c r="G1243" s="13" t="s">
        <v>404</v>
      </c>
      <c r="H1243" s="59" t="str">
        <f>Table1[[#This Row],[Tabela]]&amp;Table1[[#This Row],[Campo]]</f>
        <v>lt002_instrumentimprmnt_stts</v>
      </c>
      <c r="I1243" s="2" t="s">
        <v>614</v>
      </c>
      <c r="J1243" s="45">
        <f>VLOOKUP(Table1[[#This Row],[Status]],Auxiliar!$B$16:$C$24,2,0)</f>
        <v>1</v>
      </c>
      <c r="K1243" s="21" t="s">
        <v>1271</v>
      </c>
      <c r="L1243" s="46" t="s">
        <v>1272</v>
      </c>
      <c r="M1243" s="21" t="s">
        <v>1273</v>
      </c>
      <c r="N1243" s="48">
        <v>45506</v>
      </c>
      <c r="O1243" s="113">
        <v>0.1</v>
      </c>
      <c r="P1243" s="2"/>
      <c r="Q1243" s="152"/>
      <c r="R1243" s="152"/>
      <c r="S1243" s="152"/>
      <c r="T1243" s="152"/>
      <c r="U1243" s="152"/>
      <c r="V1243" s="152"/>
      <c r="W1243" s="2">
        <f>VLOOKUP(Table1[[#This Row],[Status]],Auxiliar!$B$16:$D$24,3,0)*Table1[[#This Row],[Estimação (horas)]]</f>
        <v>0.1</v>
      </c>
      <c r="X1243" s="206"/>
    </row>
    <row r="1244" spans="2:24" ht="17.7" hidden="1" customHeight="1">
      <c r="B1244" s="39" t="s">
        <v>26</v>
      </c>
      <c r="C1244" s="39" t="s">
        <v>26</v>
      </c>
      <c r="D1244" s="13" t="s">
        <v>400</v>
      </c>
      <c r="E1244" s="112" t="s">
        <v>38</v>
      </c>
      <c r="F1244" s="2" t="s">
        <v>380</v>
      </c>
      <c r="G1244" s="13" t="s">
        <v>405</v>
      </c>
      <c r="H1244" s="59" t="str">
        <f>Table1[[#This Row],[Tabela]]&amp;Table1[[#This Row],[Campo]]</f>
        <v>lt002_instrumentprfrmng_stts</v>
      </c>
      <c r="I1244" s="2" t="s">
        <v>614</v>
      </c>
      <c r="J1244" s="45">
        <f>VLOOKUP(Table1[[#This Row],[Status]],Auxiliar!$B$16:$C$24,2,0)</f>
        <v>1</v>
      </c>
      <c r="K1244" s="21" t="s">
        <v>1271</v>
      </c>
      <c r="L1244" s="46" t="s">
        <v>1272</v>
      </c>
      <c r="M1244" s="21" t="s">
        <v>1273</v>
      </c>
      <c r="N1244" s="48">
        <v>45506</v>
      </c>
      <c r="O1244" s="113">
        <v>0.1</v>
      </c>
      <c r="P1244" s="2"/>
      <c r="Q1244" s="152"/>
      <c r="R1244" s="152"/>
      <c r="S1244" s="152"/>
      <c r="T1244" s="152"/>
      <c r="U1244" s="152"/>
      <c r="V1244" s="152"/>
      <c r="W1244" s="2">
        <f>VLOOKUP(Table1[[#This Row],[Status]],Auxiliar!$B$16:$D$24,3,0)*Table1[[#This Row],[Estimação (horas)]]</f>
        <v>0.1</v>
      </c>
      <c r="X1244" s="206"/>
    </row>
    <row r="1245" spans="2:24" ht="17.7" hidden="1" customHeight="1">
      <c r="B1245" s="39" t="s">
        <v>26</v>
      </c>
      <c r="C1245" s="39" t="s">
        <v>26</v>
      </c>
      <c r="D1245" s="13" t="s">
        <v>400</v>
      </c>
      <c r="E1245" s="112" t="s">
        <v>38</v>
      </c>
      <c r="F1245" s="2" t="s">
        <v>380</v>
      </c>
      <c r="G1245" s="13" t="s">
        <v>406</v>
      </c>
      <c r="H1245" s="59" t="str">
        <f>Table1[[#This Row],[Tabela]]&amp;Table1[[#This Row],[Campo]]</f>
        <v>lt002_instrumentprjct_fnnc_ln</v>
      </c>
      <c r="I1245" s="2" t="s">
        <v>614</v>
      </c>
      <c r="J1245" s="45">
        <f>VLOOKUP(Table1[[#This Row],[Status]],Auxiliar!$B$16:$C$24,2,0)</f>
        <v>1</v>
      </c>
      <c r="K1245" s="21" t="s">
        <v>1271</v>
      </c>
      <c r="L1245" s="46" t="s">
        <v>1272</v>
      </c>
      <c r="M1245" s="21" t="s">
        <v>1273</v>
      </c>
      <c r="N1245" s="48">
        <v>45509</v>
      </c>
      <c r="O1245" s="113">
        <v>0.1</v>
      </c>
      <c r="P1245" s="2"/>
      <c r="Q1245" s="152"/>
      <c r="R1245" s="152"/>
      <c r="S1245" s="152"/>
      <c r="T1245" s="152"/>
      <c r="U1245" s="152"/>
      <c r="V1245" s="152"/>
      <c r="W1245" s="2">
        <f>VLOOKUP(Table1[[#This Row],[Status]],Auxiliar!$B$16:$D$24,3,0)*Table1[[#This Row],[Estimação (horas)]]</f>
        <v>0.1</v>
      </c>
      <c r="X1245" s="206"/>
    </row>
    <row r="1246" spans="2:24" ht="17.7" hidden="1" customHeight="1">
      <c r="B1246" s="39" t="s">
        <v>26</v>
      </c>
      <c r="C1246" s="39" t="s">
        <v>26</v>
      </c>
      <c r="D1246" s="13" t="s">
        <v>400</v>
      </c>
      <c r="E1246" s="112" t="s">
        <v>38</v>
      </c>
      <c r="F1246" s="2" t="s">
        <v>380</v>
      </c>
      <c r="G1246" s="13" t="s">
        <v>407</v>
      </c>
      <c r="H1246" s="59" t="str">
        <f>Table1[[#This Row],[Tabela]]&amp;Table1[[#This Row],[Campo]]</f>
        <v>lt002_instrumenttyp_instrmnt</v>
      </c>
      <c r="I1246" s="2" t="s">
        <v>614</v>
      </c>
      <c r="J1246" s="45">
        <f>VLOOKUP(Table1[[#This Row],[Status]],Auxiliar!$B$16:$C$24,2,0)</f>
        <v>1</v>
      </c>
      <c r="K1246" s="21" t="s">
        <v>1271</v>
      </c>
      <c r="L1246" s="46" t="s">
        <v>1272</v>
      </c>
      <c r="M1246" s="21" t="s">
        <v>1273</v>
      </c>
      <c r="N1246" s="48">
        <v>45506</v>
      </c>
      <c r="O1246" s="113">
        <v>0.1</v>
      </c>
      <c r="P1246" s="2"/>
      <c r="Q1246" s="152"/>
      <c r="R1246" s="152"/>
      <c r="S1246" s="152"/>
      <c r="T1246" s="152"/>
      <c r="U1246" s="152"/>
      <c r="V1246" s="152"/>
      <c r="W1246" s="2">
        <f>VLOOKUP(Table1[[#This Row],[Status]],Auxiliar!$B$16:$D$24,3,0)*Table1[[#This Row],[Estimação (horas)]]</f>
        <v>0.1</v>
      </c>
      <c r="X1246" s="206"/>
    </row>
    <row r="1247" spans="2:24" ht="17.7" hidden="1" customHeight="1">
      <c r="B1247" s="39" t="s">
        <v>26</v>
      </c>
      <c r="C1247" s="39" t="s">
        <v>26</v>
      </c>
      <c r="D1247" s="13" t="s">
        <v>400</v>
      </c>
      <c r="E1247" s="112" t="s">
        <v>38</v>
      </c>
      <c r="F1247" s="2" t="s">
        <v>380</v>
      </c>
      <c r="G1247" s="13" t="s">
        <v>408</v>
      </c>
      <c r="H1247" s="59" t="str">
        <f>Table1[[#This Row],[Tabela]]&amp;Table1[[#This Row],[Campo]]</f>
        <v>lt002_instrumentgrss_crryng_amnt_instrmnt</v>
      </c>
      <c r="I1247" s="2" t="s">
        <v>614</v>
      </c>
      <c r="J1247" s="45">
        <f>VLOOKUP(Table1[[#This Row],[Status]],Auxiliar!$B$16:$C$24,2,0)</f>
        <v>1</v>
      </c>
      <c r="K1247" s="21" t="s">
        <v>1271</v>
      </c>
      <c r="L1247" s="46" t="s">
        <v>1272</v>
      </c>
      <c r="M1247" s="21" t="s">
        <v>1273</v>
      </c>
      <c r="N1247" s="48">
        <v>45506</v>
      </c>
      <c r="O1247" s="113">
        <v>0.1</v>
      </c>
      <c r="P1247" s="2"/>
      <c r="Q1247" s="152"/>
      <c r="R1247" s="152"/>
      <c r="S1247" s="152"/>
      <c r="T1247" s="152"/>
      <c r="U1247" s="152"/>
      <c r="V1247" s="152"/>
      <c r="W1247" s="2">
        <f>VLOOKUP(Table1[[#This Row],[Status]],Auxiliar!$B$16:$D$24,3,0)*Table1[[#This Row],[Estimação (horas)]]</f>
        <v>0.1</v>
      </c>
      <c r="X1247" s="206"/>
    </row>
    <row r="1248" spans="2:24" ht="17.7" hidden="1" customHeight="1">
      <c r="B1248" s="39" t="s">
        <v>26</v>
      </c>
      <c r="C1248" s="39" t="s">
        <v>26</v>
      </c>
      <c r="D1248" s="13" t="s">
        <v>400</v>
      </c>
      <c r="E1248" s="112" t="s">
        <v>38</v>
      </c>
      <c r="F1248" s="2" t="s">
        <v>380</v>
      </c>
      <c r="G1248" s="13" t="s">
        <v>409</v>
      </c>
      <c r="H1248" s="59" t="str">
        <f>Table1[[#This Row],[Tabela]]&amp;Table1[[#This Row],[Campo]]</f>
        <v>lt002_instrumentaccmltd_chngs_fv_cr_instrmnt</v>
      </c>
      <c r="I1248" s="2" t="s">
        <v>614</v>
      </c>
      <c r="J1248" s="45">
        <f>VLOOKUP(Table1[[#This Row],[Status]],Auxiliar!$B$16:$C$24,2,0)</f>
        <v>1</v>
      </c>
      <c r="K1248" s="21" t="s">
        <v>1271</v>
      </c>
      <c r="L1248" s="46" t="s">
        <v>1272</v>
      </c>
      <c r="M1248" s="21" t="s">
        <v>1273</v>
      </c>
      <c r="N1248" s="48">
        <v>45506</v>
      </c>
      <c r="O1248" s="113">
        <v>0.1</v>
      </c>
      <c r="P1248" s="2"/>
      <c r="Q1248" s="152"/>
      <c r="R1248" s="152"/>
      <c r="S1248" s="152"/>
      <c r="T1248" s="152"/>
      <c r="U1248" s="152"/>
      <c r="V1248" s="152"/>
      <c r="W1248" s="2">
        <f>VLOOKUP(Table1[[#This Row],[Status]],Auxiliar!$B$16:$D$24,3,0)*Table1[[#This Row],[Estimação (horas)]]</f>
        <v>0.1</v>
      </c>
      <c r="X1248" s="206"/>
    </row>
    <row r="1249" spans="2:24" ht="17.7" hidden="1" customHeight="1">
      <c r="B1249" s="39" t="s">
        <v>26</v>
      </c>
      <c r="C1249" s="39" t="s">
        <v>26</v>
      </c>
      <c r="D1249" s="13" t="s">
        <v>400</v>
      </c>
      <c r="E1249" s="112" t="s">
        <v>38</v>
      </c>
      <c r="F1249" s="2" t="s">
        <v>380</v>
      </c>
      <c r="G1249" s="13" t="s">
        <v>410</v>
      </c>
      <c r="H1249" s="59" t="str">
        <f>Table1[[#This Row],[Tabela]]&amp;Table1[[#This Row],[Campo]]</f>
        <v>lt002_instrumentaccntng_clssfctn</v>
      </c>
      <c r="I1249" s="2" t="s">
        <v>614</v>
      </c>
      <c r="J1249" s="45">
        <f>VLOOKUP(Table1[[#This Row],[Status]],Auxiliar!$B$16:$C$24,2,0)</f>
        <v>1</v>
      </c>
      <c r="K1249" s="21" t="s">
        <v>1271</v>
      </c>
      <c r="L1249" s="46" t="s">
        <v>1272</v>
      </c>
      <c r="M1249" s="21" t="s">
        <v>1273</v>
      </c>
      <c r="N1249" s="48">
        <v>45506</v>
      </c>
      <c r="O1249" s="113">
        <v>0.1</v>
      </c>
      <c r="P1249" s="2"/>
      <c r="Q1249" s="152"/>
      <c r="R1249" s="152"/>
      <c r="S1249" s="152"/>
      <c r="T1249" s="152"/>
      <c r="U1249" s="152"/>
      <c r="V1249" s="152"/>
      <c r="W1249" s="2">
        <f>VLOOKUP(Table1[[#This Row],[Status]],Auxiliar!$B$16:$D$24,3,0)*Table1[[#This Row],[Estimação (horas)]]</f>
        <v>0.1</v>
      </c>
      <c r="X1249" s="206"/>
    </row>
    <row r="1250" spans="2:24" ht="17.7" hidden="1" customHeight="1">
      <c r="B1250" s="39" t="s">
        <v>26</v>
      </c>
      <c r="C1250" s="39" t="s">
        <v>26</v>
      </c>
      <c r="D1250" s="13" t="s">
        <v>400</v>
      </c>
      <c r="E1250" s="112" t="s">
        <v>38</v>
      </c>
      <c r="F1250" s="2" t="s">
        <v>380</v>
      </c>
      <c r="G1250" s="13" t="s">
        <v>411</v>
      </c>
      <c r="H1250" s="59" t="str">
        <f>Table1[[#This Row],[Tabela]]&amp;Table1[[#This Row],[Campo]]</f>
        <v>lt002_instrumentdt_lgl_fnl_mtrty</v>
      </c>
      <c r="I1250" s="2" t="s">
        <v>614</v>
      </c>
      <c r="J1250" s="45">
        <f>VLOOKUP(Table1[[#This Row],[Status]],Auxiliar!$B$16:$C$24,2,0)</f>
        <v>1</v>
      </c>
      <c r="K1250" s="21" t="s">
        <v>1271</v>
      </c>
      <c r="L1250" s="46" t="s">
        <v>1272</v>
      </c>
      <c r="M1250" s="21" t="s">
        <v>1273</v>
      </c>
      <c r="N1250" s="48">
        <v>45506</v>
      </c>
      <c r="O1250" s="113">
        <v>0.1</v>
      </c>
      <c r="P1250" s="2"/>
      <c r="Q1250" s="152"/>
      <c r="R1250" s="152"/>
      <c r="S1250" s="152"/>
      <c r="T1250" s="152"/>
      <c r="U1250" s="152"/>
      <c r="V1250" s="152"/>
      <c r="W1250" s="2">
        <f>VLOOKUP(Table1[[#This Row],[Status]],Auxiliar!$B$16:$D$24,3,0)*Table1[[#This Row],[Estimação (horas)]]</f>
        <v>0.1</v>
      </c>
      <c r="X1250" s="206"/>
    </row>
    <row r="1251" spans="2:24" ht="17.7" hidden="1" customHeight="1">
      <c r="B1251" s="39" t="s">
        <v>26</v>
      </c>
      <c r="C1251" s="39" t="s">
        <v>26</v>
      </c>
      <c r="D1251" s="13" t="s">
        <v>400</v>
      </c>
      <c r="E1251" s="112" t="s">
        <v>38</v>
      </c>
      <c r="F1251" s="2" t="s">
        <v>380</v>
      </c>
      <c r="G1251" s="13" t="s">
        <v>412</v>
      </c>
      <c r="H1251" s="59" t="str">
        <f>Table1[[#This Row],[Tabela]]&amp;Table1[[#This Row],[Campo]]</f>
        <v>lt002_instrumentaccmltd_imprmnt_instrmnt</v>
      </c>
      <c r="I1251" s="2" t="s">
        <v>614</v>
      </c>
      <c r="J1251" s="45">
        <f>VLOOKUP(Table1[[#This Row],[Status]],Auxiliar!$B$16:$C$24,2,0)</f>
        <v>1</v>
      </c>
      <c r="K1251" s="21" t="s">
        <v>1271</v>
      </c>
      <c r="L1251" s="46" t="s">
        <v>1272</v>
      </c>
      <c r="M1251" s="21" t="s">
        <v>1273</v>
      </c>
      <c r="N1251" s="48">
        <v>45506</v>
      </c>
      <c r="O1251" s="113">
        <v>0.1</v>
      </c>
      <c r="P1251" s="2"/>
      <c r="Q1251" s="152"/>
      <c r="R1251" s="152"/>
      <c r="S1251" s="152"/>
      <c r="T1251" s="152"/>
      <c r="U1251" s="152"/>
      <c r="V1251" s="152"/>
      <c r="W1251" s="2">
        <f>VLOOKUP(Table1[[#This Row],[Status]],Auxiliar!$B$16:$D$24,3,0)*Table1[[#This Row],[Estimação (horas)]]</f>
        <v>0.1</v>
      </c>
      <c r="X1251" s="206"/>
    </row>
    <row r="1252" spans="2:24" ht="17.7" hidden="1" customHeight="1">
      <c r="B1252" s="39" t="s">
        <v>26</v>
      </c>
      <c r="C1252" s="39" t="s">
        <v>26</v>
      </c>
      <c r="D1252" s="13" t="s">
        <v>400</v>
      </c>
      <c r="E1252" s="112" t="s">
        <v>38</v>
      </c>
      <c r="F1252" s="2" t="s">
        <v>380</v>
      </c>
      <c r="G1252" s="13" t="s">
        <v>413</v>
      </c>
      <c r="H1252" s="59" t="str">
        <f>Table1[[#This Row],[Tabela]]&amp;Table1[[#This Row],[Campo]]</f>
        <v>lt002_instrumentissr_cntry</v>
      </c>
      <c r="I1252" s="2" t="s">
        <v>614</v>
      </c>
      <c r="J1252" s="45">
        <f>VLOOKUP(Table1[[#This Row],[Status]],Auxiliar!$B$16:$C$24,2,0)</f>
        <v>1</v>
      </c>
      <c r="K1252" s="21" t="s">
        <v>1271</v>
      </c>
      <c r="L1252" s="46" t="s">
        <v>1272</v>
      </c>
      <c r="M1252" s="21" t="s">
        <v>1273</v>
      </c>
      <c r="N1252" s="48">
        <v>45506</v>
      </c>
      <c r="O1252" s="113">
        <v>0.1</v>
      </c>
      <c r="P1252" s="2"/>
      <c r="Q1252" s="152"/>
      <c r="R1252" s="152"/>
      <c r="S1252" s="152"/>
      <c r="T1252" s="152"/>
      <c r="U1252" s="152"/>
      <c r="V1252" s="152"/>
      <c r="W1252" s="2">
        <f>VLOOKUP(Table1[[#This Row],[Status]],Auxiliar!$B$16:$D$24,3,0)*Table1[[#This Row],[Estimação (horas)]]</f>
        <v>0.1</v>
      </c>
      <c r="X1252" s="206"/>
    </row>
    <row r="1253" spans="2:24" ht="17.7" hidden="1" customHeight="1">
      <c r="B1253" s="39" t="s">
        <v>26</v>
      </c>
      <c r="C1253" s="39" t="s">
        <v>26</v>
      </c>
      <c r="D1253" s="13" t="s">
        <v>400</v>
      </c>
      <c r="E1253" s="112" t="s">
        <v>38</v>
      </c>
      <c r="F1253" s="2" t="s">
        <v>380</v>
      </c>
      <c r="G1253" s="13" t="s">
        <v>414</v>
      </c>
      <c r="H1253" s="59" t="str">
        <f>Table1[[#This Row],[Tabela]]&amp;Table1[[#This Row],[Campo]]</f>
        <v>lt002_instrumentissr_nace_sctr</v>
      </c>
      <c r="I1253" s="2" t="s">
        <v>614</v>
      </c>
      <c r="J1253" s="45">
        <f>VLOOKUP(Table1[[#This Row],[Status]],Auxiliar!$B$16:$C$24,2,0)</f>
        <v>1</v>
      </c>
      <c r="K1253" s="21" t="s">
        <v>1271</v>
      </c>
      <c r="L1253" s="46" t="s">
        <v>1272</v>
      </c>
      <c r="M1253" s="21" t="s">
        <v>1273</v>
      </c>
      <c r="N1253" s="48">
        <v>45506</v>
      </c>
      <c r="O1253" s="113">
        <v>0.1</v>
      </c>
      <c r="P1253" s="2"/>
      <c r="Q1253" s="152"/>
      <c r="R1253" s="152"/>
      <c r="S1253" s="152"/>
      <c r="T1253" s="152"/>
      <c r="U1253" s="152"/>
      <c r="V1253" s="152"/>
      <c r="W1253" s="2">
        <f>VLOOKUP(Table1[[#This Row],[Status]],Auxiliar!$B$16:$D$24,3,0)*Table1[[#This Row],[Estimação (horas)]]</f>
        <v>0.1</v>
      </c>
      <c r="X1253" s="206"/>
    </row>
    <row r="1254" spans="2:24" ht="17.7" hidden="1" customHeight="1">
      <c r="B1254" s="39" t="s">
        <v>26</v>
      </c>
      <c r="C1254" s="39" t="s">
        <v>26</v>
      </c>
      <c r="D1254" s="13" t="s">
        <v>400</v>
      </c>
      <c r="E1254" s="112" t="s">
        <v>38</v>
      </c>
      <c r="F1254" s="2" t="s">
        <v>380</v>
      </c>
      <c r="G1254" s="13" t="s">
        <v>415</v>
      </c>
      <c r="H1254" s="59" t="str">
        <f>Table1[[#This Row],[Tabela]]&amp;Table1[[#This Row],[Campo]]</f>
        <v>lt002_instrumentprmry_asst_clssf</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7" hidden="1" customHeight="1">
      <c r="B1255" s="39" t="s">
        <v>26</v>
      </c>
      <c r="C1255" s="39" t="s">
        <v>26</v>
      </c>
      <c r="D1255" s="13" t="s">
        <v>400</v>
      </c>
      <c r="E1255" s="112" t="s">
        <v>38</v>
      </c>
      <c r="F1255" s="2" t="s">
        <v>380</v>
      </c>
      <c r="G1255" s="13" t="s">
        <v>416</v>
      </c>
      <c r="H1255" s="59" t="str">
        <f>Table1[[#This Row],[Tabela]]&amp;Table1[[#This Row],[Campo]]</f>
        <v>lt002_instrumentsubportfolio_id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7" hidden="1" customHeight="1">
      <c r="B1256" s="39" t="s">
        <v>26</v>
      </c>
      <c r="C1256" s="39" t="s">
        <v>26</v>
      </c>
      <c r="D1256" s="13" t="s">
        <v>400</v>
      </c>
      <c r="E1256" s="112" t="s">
        <v>38</v>
      </c>
      <c r="F1256" s="2" t="s">
        <v>380</v>
      </c>
      <c r="G1256" s="13" t="s">
        <v>417</v>
      </c>
      <c r="H1256" s="59" t="str">
        <f>Table1[[#This Row],[Tabela]]&amp;Table1[[#This Row],[Campo]]</f>
        <v>lt002_instrumentcod_soc</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7" hidden="1" customHeight="1">
      <c r="B1257" s="39" t="s">
        <v>26</v>
      </c>
      <c r="C1257" s="39" t="s">
        <v>26</v>
      </c>
      <c r="D1257" s="20" t="s">
        <v>400</v>
      </c>
      <c r="E1257" s="112" t="s">
        <v>38</v>
      </c>
      <c r="F1257" s="32" t="s">
        <v>380</v>
      </c>
      <c r="G1257" s="20" t="s">
        <v>418</v>
      </c>
      <c r="H1257" s="59" t="str">
        <f>Table1[[#This Row],[Tabela]]&amp;Table1[[#This Row],[Campo]]</f>
        <v>lt002_instrumentlcl_instmrnt_id</v>
      </c>
      <c r="I1257" s="2" t="s">
        <v>614</v>
      </c>
      <c r="J1257" s="45">
        <f>VLOOKUP(Table1[[#This Row],[Status]],Auxiliar!$B$16:$C$24,2,0)</f>
        <v>1</v>
      </c>
      <c r="K1257" s="21" t="s">
        <v>1271</v>
      </c>
      <c r="L1257" s="46" t="s">
        <v>1272</v>
      </c>
      <c r="M1257" s="21" t="s">
        <v>1273</v>
      </c>
      <c r="N1257" s="48">
        <v>45510</v>
      </c>
      <c r="O1257" s="113">
        <v>0.1</v>
      </c>
      <c r="P1257" s="3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31</v>
      </c>
      <c r="E1258" s="112" t="s">
        <v>38</v>
      </c>
      <c r="F1258" s="2" t="s">
        <v>380</v>
      </c>
      <c r="G1258" s="13" t="s">
        <v>419</v>
      </c>
      <c r="H1258" s="59" t="str">
        <f>Table1[[#This Row],[Tabela]]&amp;Table1[[#This Row],[Campo]]</f>
        <v>lt002_instrumentsstnbl_indctr</v>
      </c>
      <c r="I1258" s="2" t="s">
        <v>619</v>
      </c>
      <c r="J1258" s="45">
        <f>VLOOKUP(Table1[[#This Row],[Status]],Auxiliar!$B$16:$C$24,2,0)</f>
        <v>7</v>
      </c>
      <c r="K1258" s="21" t="s">
        <v>1271</v>
      </c>
      <c r="L1258" s="46" t="s">
        <v>1272</v>
      </c>
      <c r="M1258" s="21" t="s">
        <v>1273</v>
      </c>
      <c r="N1258" s="48">
        <v>45596</v>
      </c>
      <c r="O1258" s="113">
        <v>0.1</v>
      </c>
      <c r="P1258" s="43"/>
      <c r="Q1258" s="152"/>
      <c r="R1258" s="152"/>
      <c r="S1258" s="152"/>
      <c r="T1258" s="152"/>
      <c r="U1258" s="152"/>
      <c r="V1258" s="152"/>
      <c r="W1258" s="2">
        <f>VLOOKUP(Table1[[#This Row],[Status]],Auxiliar!$B$16:$D$24,3,0)*Table1[[#This Row],[Estimação (horas)]]</f>
        <v>2.5000000000000001E-2</v>
      </c>
      <c r="X1258" s="206"/>
    </row>
    <row r="1259" spans="2:24" ht="17.7" hidden="1" customHeight="1">
      <c r="B1259" s="39" t="s">
        <v>26</v>
      </c>
      <c r="C1259" s="39" t="s">
        <v>26</v>
      </c>
      <c r="D1259" s="13" t="s">
        <v>31</v>
      </c>
      <c r="E1259" s="112" t="s">
        <v>38</v>
      </c>
      <c r="F1259" s="2" t="s">
        <v>380</v>
      </c>
      <c r="G1259" s="13" t="s">
        <v>420</v>
      </c>
      <c r="H1259" s="59" t="str">
        <f>Table1[[#This Row],[Tabela]]&amp;Table1[[#This Row],[Campo]]</f>
        <v>lt002_instrumentsstnbl_ctgry</v>
      </c>
      <c r="I1259" s="2" t="s">
        <v>619</v>
      </c>
      <c r="J1259" s="45">
        <f>VLOOKUP(Table1[[#This Row],[Status]],Auxiliar!$B$16:$C$24,2,0)</f>
        <v>7</v>
      </c>
      <c r="K1259" s="21" t="s">
        <v>1271</v>
      </c>
      <c r="L1259" s="46" t="s">
        <v>1272</v>
      </c>
      <c r="M1259" s="21" t="s">
        <v>1273</v>
      </c>
      <c r="N1259" s="48">
        <v>45596</v>
      </c>
      <c r="O1259" s="113">
        <v>0.1</v>
      </c>
      <c r="P1259" s="43"/>
      <c r="Q1259" s="152"/>
      <c r="R1259" s="152">
        <v>45593</v>
      </c>
      <c r="S1259" s="152"/>
      <c r="T1259" s="152">
        <v>45593</v>
      </c>
      <c r="U1259" s="152"/>
      <c r="V1259" s="152"/>
      <c r="W1259" s="2">
        <f>VLOOKUP(Table1[[#This Row],[Status]],Auxiliar!$B$16:$D$24,3,0)*Table1[[#This Row],[Estimação (horas)]]</f>
        <v>2.5000000000000001E-2</v>
      </c>
      <c r="X1259" s="206"/>
    </row>
    <row r="1260" spans="2:24" ht="17.7" hidden="1" customHeight="1">
      <c r="B1260" s="39" t="s">
        <v>26</v>
      </c>
      <c r="C1260" s="39" t="s">
        <v>26</v>
      </c>
      <c r="D1260" s="13" t="s">
        <v>31</v>
      </c>
      <c r="E1260" s="112" t="s">
        <v>38</v>
      </c>
      <c r="F1260" s="2" t="s">
        <v>380</v>
      </c>
      <c r="G1260" s="13" t="s">
        <v>421</v>
      </c>
      <c r="H1260" s="59" t="str">
        <f>Table1[[#This Row],[Tabela]]&amp;Table1[[#This Row],[Campo]]</f>
        <v>lt002_instrumentgrss_intrst_incm</v>
      </c>
      <c r="I1260" s="2" t="s">
        <v>1948</v>
      </c>
      <c r="J1260" s="45">
        <f>VLOOKUP(Table1[[#This Row],[Status]],Auxiliar!$B$16:$C$24,2,0)</f>
        <v>3</v>
      </c>
      <c r="K1260" s="21" t="s">
        <v>1271</v>
      </c>
      <c r="L1260" s="46" t="s">
        <v>1272</v>
      </c>
      <c r="M1260" s="21" t="s">
        <v>1273</v>
      </c>
      <c r="N1260" s="48">
        <v>45590</v>
      </c>
      <c r="O1260" s="113">
        <v>0.1</v>
      </c>
      <c r="P1260" s="2" t="s">
        <v>573</v>
      </c>
      <c r="Q1260" s="152"/>
      <c r="R1260" s="152">
        <v>45593</v>
      </c>
      <c r="S1260" s="152"/>
      <c r="T1260" s="152">
        <v>45593</v>
      </c>
      <c r="U1260" s="152"/>
      <c r="V1260" s="152"/>
      <c r="W1260" s="2">
        <f>VLOOKUP(Table1[[#This Row],[Status]],Auxiliar!$B$16:$D$24,3,0)*Table1[[#This Row],[Estimação (horas)]]</f>
        <v>0.05</v>
      </c>
      <c r="X1260" s="206"/>
    </row>
    <row r="1261" spans="2:24" ht="17.7" hidden="1" customHeight="1">
      <c r="B1261" s="39" t="s">
        <v>26</v>
      </c>
      <c r="C1261" s="39" t="s">
        <v>26</v>
      </c>
      <c r="D1261" s="13" t="s">
        <v>31</v>
      </c>
      <c r="E1261" s="112" t="s">
        <v>38</v>
      </c>
      <c r="F1261" s="2" t="s">
        <v>380</v>
      </c>
      <c r="G1261" s="13" t="s">
        <v>422</v>
      </c>
      <c r="H1261" s="59" t="str">
        <f>Table1[[#This Row],[Tabela]]&amp;Table1[[#This Row],[Campo]]</f>
        <v>lt002_instrumentgrss_cmmssn_incm</v>
      </c>
      <c r="I1261" s="2" t="s">
        <v>1948</v>
      </c>
      <c r="J1261" s="45">
        <f>VLOOKUP(Table1[[#This Row],[Status]],Auxiliar!$B$16:$C$24,2,0)</f>
        <v>3</v>
      </c>
      <c r="K1261" s="21" t="s">
        <v>1271</v>
      </c>
      <c r="L1261" s="46" t="s">
        <v>1272</v>
      </c>
      <c r="M1261" s="21" t="s">
        <v>1273</v>
      </c>
      <c r="N1261" s="48">
        <v>45590</v>
      </c>
      <c r="O1261" s="113">
        <v>0.1</v>
      </c>
      <c r="P1261" s="2" t="s">
        <v>573</v>
      </c>
      <c r="Q1261" s="152"/>
      <c r="R1261" s="152"/>
      <c r="S1261" s="152"/>
      <c r="T1261" s="152"/>
      <c r="U1261" s="152"/>
      <c r="V1261" s="152"/>
      <c r="W1261" s="2">
        <f>VLOOKUP(Table1[[#This Row],[Status]],Auxiliar!$B$16:$D$24,3,0)*Table1[[#This Row],[Estimação (horas)]]</f>
        <v>0.05</v>
      </c>
      <c r="X1261" s="206"/>
    </row>
    <row r="1262" spans="2:24" ht="17.7" hidden="1" customHeight="1">
      <c r="B1262" s="39" t="s">
        <v>26</v>
      </c>
      <c r="C1262" s="39" t="s">
        <v>26</v>
      </c>
      <c r="D1262" s="13" t="s">
        <v>31</v>
      </c>
      <c r="E1262" s="112" t="s">
        <v>38</v>
      </c>
      <c r="F1262" s="2" t="s">
        <v>380</v>
      </c>
      <c r="G1262" s="13" t="s">
        <v>423</v>
      </c>
      <c r="H1262" s="59" t="str">
        <f>Table1[[#This Row],[Tabela]]&amp;Table1[[#This Row],[Campo]]</f>
        <v>lt002_instrumentgrss_cmmssn_incm_off_blnc</v>
      </c>
      <c r="I1262" s="2" t="s">
        <v>1948</v>
      </c>
      <c r="J1262" s="45">
        <f>VLOOKUP(Table1[[#This Row],[Status]],Auxiliar!$B$16:$C$24,2,0)</f>
        <v>3</v>
      </c>
      <c r="K1262" s="21" t="s">
        <v>1271</v>
      </c>
      <c r="L1262" s="46" t="s">
        <v>1272</v>
      </c>
      <c r="M1262" s="21" t="s">
        <v>1273</v>
      </c>
      <c r="N1262" s="48">
        <v>45590</v>
      </c>
      <c r="O1262" s="113">
        <v>0.1</v>
      </c>
      <c r="P1262" s="2" t="s">
        <v>573</v>
      </c>
      <c r="Q1262" s="152"/>
      <c r="R1262" s="152"/>
      <c r="S1262" s="152"/>
      <c r="T1262" s="152"/>
      <c r="U1262" s="152"/>
      <c r="V1262" s="152"/>
      <c r="W1262" s="2">
        <f>VLOOKUP(Table1[[#This Row],[Status]],Auxiliar!$B$16:$D$24,3,0)*Table1[[#This Row],[Estimação (horas)]]</f>
        <v>0.05</v>
      </c>
      <c r="X1262" s="206"/>
    </row>
    <row r="1263" spans="2:24" ht="17.7" hidden="1" customHeight="1">
      <c r="B1263" s="39" t="s">
        <v>26</v>
      </c>
      <c r="C1263" s="39" t="s">
        <v>26</v>
      </c>
      <c r="D1263" s="13" t="s">
        <v>400</v>
      </c>
      <c r="E1263" s="112" t="s">
        <v>38</v>
      </c>
      <c r="F1263" s="2" t="s">
        <v>380</v>
      </c>
      <c r="G1263" s="13" t="s">
        <v>424</v>
      </c>
      <c r="H1263" s="59" t="str">
        <f>Table1[[#This Row],[Tabela]]&amp;Table1[[#This Row],[Campo]]</f>
        <v>lt002_instrumentidcmb</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336</v>
      </c>
      <c r="G1264" s="13" t="s">
        <v>425</v>
      </c>
      <c r="H1264" s="59" t="str">
        <f>Table1[[#This Row],[Tabela]]&amp;Table1[[#This Row],[Campo]]</f>
        <v>lt003_entitycntry</v>
      </c>
      <c r="I1264" s="2" t="s">
        <v>614</v>
      </c>
      <c r="J1264" s="45">
        <f>VLOOKUP(Table1[[#This Row],[Status]],Auxiliar!$B$16:$C$24,2,0)</f>
        <v>1</v>
      </c>
      <c r="K1264" s="21" t="s">
        <v>1271</v>
      </c>
      <c r="L1264" s="46" t="s">
        <v>1272</v>
      </c>
      <c r="M1264" s="21" t="s">
        <v>1273</v>
      </c>
      <c r="N1264" s="48">
        <v>45505</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336</v>
      </c>
      <c r="G1265" s="13" t="s">
        <v>399</v>
      </c>
      <c r="H1265" s="59" t="str">
        <f>Table1[[#This Row],[Tabela]]&amp;Table1[[#This Row],[Campo]]</f>
        <v>lt003_entitydt_rfrnc</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336</v>
      </c>
      <c r="G1266" s="13" t="s">
        <v>426</v>
      </c>
      <c r="H1266" s="59" t="str">
        <f>Table1[[#This Row],[Tabela]]&amp;Table1[[#This Row],[Campo]]</f>
        <v>lt003_entityentty_id</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336</v>
      </c>
      <c r="G1267" s="13" t="s">
        <v>427</v>
      </c>
      <c r="H1267" s="59" t="str">
        <f>Table1[[#This Row],[Tabela]]&amp;Table1[[#This Row],[Campo]]</f>
        <v>lt003_entitylei</v>
      </c>
      <c r="I1267" s="2" t="s">
        <v>614</v>
      </c>
      <c r="J1267" s="45">
        <f>VLOOKUP(Table1[[#This Row],[Status]],Auxiliar!$B$16:$C$24,2,0)</f>
        <v>1</v>
      </c>
      <c r="K1267" s="21" t="s">
        <v>1271</v>
      </c>
      <c r="L1267" s="46" t="s">
        <v>1272</v>
      </c>
      <c r="M1267" s="21" t="s">
        <v>1273</v>
      </c>
      <c r="N1267" s="48">
        <v>45509</v>
      </c>
      <c r="O1267" s="113">
        <v>0.1</v>
      </c>
      <c r="P1267" s="2" t="s">
        <v>1384</v>
      </c>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336</v>
      </c>
      <c r="G1268" s="13" t="s">
        <v>428</v>
      </c>
      <c r="H1268" s="59" t="str">
        <f>Table1[[#This Row],[Tabela]]&amp;Table1[[#This Row],[Campo]]</f>
        <v>lt003_entityecnmc_actvty</v>
      </c>
      <c r="I1268" s="2" t="s">
        <v>614</v>
      </c>
      <c r="J1268" s="45">
        <f>VLOOKUP(Table1[[#This Row],[Status]],Auxiliar!$B$16:$C$24,2,0)</f>
        <v>1</v>
      </c>
      <c r="K1268" s="21" t="s">
        <v>1271</v>
      </c>
      <c r="L1268" s="46" t="s">
        <v>1272</v>
      </c>
      <c r="M1268" s="21" t="s">
        <v>1273</v>
      </c>
      <c r="N1268" s="48">
        <v>45509</v>
      </c>
      <c r="O1268" s="113">
        <v>0.1</v>
      </c>
      <c r="P1268" s="2" t="s">
        <v>1384</v>
      </c>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336</v>
      </c>
      <c r="G1269" s="13" t="s">
        <v>429</v>
      </c>
      <c r="H1269" s="59" t="str">
        <f>Table1[[#This Row],[Tabela]]&amp;Table1[[#This Row],[Campo]]</f>
        <v>lt003_entitygrp_eqty</v>
      </c>
      <c r="I1269" s="2" t="s">
        <v>614</v>
      </c>
      <c r="J1269" s="45">
        <f>VLOOKUP(Table1[[#This Row],[Status]],Auxiliar!$B$16:$C$24,2,0)</f>
        <v>1</v>
      </c>
      <c r="K1269" s="21" t="s">
        <v>1271</v>
      </c>
      <c r="L1269" s="46" t="s">
        <v>1272</v>
      </c>
      <c r="M1269" s="21" t="s">
        <v>1273</v>
      </c>
      <c r="N1269" s="48">
        <v>45509</v>
      </c>
      <c r="O1269" s="113">
        <v>0.1</v>
      </c>
      <c r="P1269" s="2" t="s">
        <v>1384</v>
      </c>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336</v>
      </c>
      <c r="G1270" s="13" t="s">
        <v>430</v>
      </c>
      <c r="H1270" s="59" t="str">
        <f>Table1[[#This Row],[Tabela]]&amp;Table1[[#This Row],[Campo]]</f>
        <v>lt003_entityannl_trnvr_le</v>
      </c>
      <c r="I1270" s="2" t="s">
        <v>614</v>
      </c>
      <c r="J1270" s="45">
        <f>VLOOKUP(Table1[[#This Row],[Status]],Auxiliar!$B$16:$C$24,2,0)</f>
        <v>1</v>
      </c>
      <c r="K1270" s="21" t="s">
        <v>1271</v>
      </c>
      <c r="L1270" s="46" t="s">
        <v>1272</v>
      </c>
      <c r="M1270" s="21" t="s">
        <v>1273</v>
      </c>
      <c r="N1270" s="48">
        <v>45509</v>
      </c>
      <c r="O1270" s="113">
        <v>0.1</v>
      </c>
      <c r="P1270" s="2" t="s">
        <v>1384</v>
      </c>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336</v>
      </c>
      <c r="G1271" s="13" t="s">
        <v>431</v>
      </c>
      <c r="H1271" s="59" t="str">
        <f>Table1[[#This Row],[Tabela]]&amp;Table1[[#This Row],[Campo]]</f>
        <v>lt003_entityeqty</v>
      </c>
      <c r="I1271" s="2" t="s">
        <v>614</v>
      </c>
      <c r="J1271" s="45">
        <f>VLOOKUP(Table1[[#This Row],[Status]],Auxiliar!$B$16:$C$24,2,0)</f>
        <v>1</v>
      </c>
      <c r="K1271" s="21" t="s">
        <v>1271</v>
      </c>
      <c r="L1271" s="46" t="s">
        <v>1272</v>
      </c>
      <c r="M1271" s="21" t="s">
        <v>1273</v>
      </c>
      <c r="N1271" s="48">
        <v>45509</v>
      </c>
      <c r="O1271" s="113">
        <v>0.1</v>
      </c>
      <c r="P1271" s="2" t="s">
        <v>1384</v>
      </c>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336</v>
      </c>
      <c r="G1272" s="13" t="s">
        <v>432</v>
      </c>
      <c r="H1272" s="59" t="str">
        <f>Table1[[#This Row],[Tabela]]&amp;Table1[[#This Row],[Campo]]</f>
        <v>lt003_entitygrp_ttl_dbt</v>
      </c>
      <c r="I1272" s="2" t="s">
        <v>614</v>
      </c>
      <c r="J1272" s="45">
        <f>VLOOKUP(Table1[[#This Row],[Status]],Auxiliar!$B$16:$C$24,2,0)</f>
        <v>1</v>
      </c>
      <c r="K1272" s="21" t="s">
        <v>1271</v>
      </c>
      <c r="L1272" s="46" t="s">
        <v>1272</v>
      </c>
      <c r="M1272" s="21" t="s">
        <v>1273</v>
      </c>
      <c r="N1272" s="48">
        <v>45509</v>
      </c>
      <c r="O1272" s="113">
        <v>0.1</v>
      </c>
      <c r="P1272" s="2" t="s">
        <v>1384</v>
      </c>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336</v>
      </c>
      <c r="G1273" s="13" t="s">
        <v>433</v>
      </c>
      <c r="H1273" s="59" t="str">
        <f>Table1[[#This Row],[Tabela]]&amp;Table1[[#This Row],[Campo]]</f>
        <v>lt003_entityttl_dbt</v>
      </c>
      <c r="I1273" s="2" t="s">
        <v>614</v>
      </c>
      <c r="J1273" s="45">
        <f>VLOOKUP(Table1[[#This Row],[Status]],Auxiliar!$B$16:$C$24,2,0)</f>
        <v>1</v>
      </c>
      <c r="K1273" s="21" t="s">
        <v>1271</v>
      </c>
      <c r="L1273" s="46" t="s">
        <v>1272</v>
      </c>
      <c r="M1273" s="21" t="s">
        <v>1273</v>
      </c>
      <c r="N1273" s="48">
        <v>45509</v>
      </c>
      <c r="O1273" s="113">
        <v>0.1</v>
      </c>
      <c r="P1273" s="2" t="s">
        <v>1384</v>
      </c>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20" t="s">
        <v>400</v>
      </c>
      <c r="E1274" s="112" t="s">
        <v>38</v>
      </c>
      <c r="F1274" s="32" t="s">
        <v>336</v>
      </c>
      <c r="G1274" s="20" t="s">
        <v>417</v>
      </c>
      <c r="H1274" s="59" t="str">
        <f>Table1[[#This Row],[Tabela]]&amp;Table1[[#This Row],[Campo]]</f>
        <v>lt003_entitycod_soc</v>
      </c>
      <c r="I1274" s="2" t="s">
        <v>614</v>
      </c>
      <c r="J1274" s="45">
        <f>VLOOKUP(Table1[[#This Row],[Status]],Auxiliar!$B$16:$C$24,2,0)</f>
        <v>1</v>
      </c>
      <c r="K1274" s="21" t="s">
        <v>1271</v>
      </c>
      <c r="L1274" s="46" t="s">
        <v>1272</v>
      </c>
      <c r="M1274" s="21" t="s">
        <v>1273</v>
      </c>
      <c r="N1274" s="48">
        <v>45491</v>
      </c>
      <c r="O1274" s="113">
        <v>0.1</v>
      </c>
      <c r="P1274" s="3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13" t="s">
        <v>400</v>
      </c>
      <c r="E1275" s="112" t="s">
        <v>38</v>
      </c>
      <c r="F1275" s="2" t="s">
        <v>369</v>
      </c>
      <c r="G1275" s="13" t="s">
        <v>399</v>
      </c>
      <c r="H1275" s="59" t="str">
        <f>Table1[[#This Row],[Tabela]]&amp;Table1[[#This Row],[Campo]]</f>
        <v>lt004_protectiondt_rfrnc</v>
      </c>
      <c r="I1275" s="2" t="s">
        <v>614</v>
      </c>
      <c r="J1275" s="45">
        <f>VLOOKUP(Table1[[#This Row],[Status]],Auxiliar!$B$16:$C$24,2,0)</f>
        <v>1</v>
      </c>
      <c r="K1275" s="21" t="s">
        <v>1271</v>
      </c>
      <c r="L1275" s="46" t="s">
        <v>1272</v>
      </c>
      <c r="M1275" s="21" t="s">
        <v>1273</v>
      </c>
      <c r="N1275" s="48">
        <v>45509</v>
      </c>
      <c r="O1275" s="113">
        <v>0.1</v>
      </c>
      <c r="P1275" s="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400</v>
      </c>
      <c r="E1276" s="112" t="s">
        <v>38</v>
      </c>
      <c r="F1276" s="2" t="s">
        <v>369</v>
      </c>
      <c r="G1276" s="13" t="s">
        <v>434</v>
      </c>
      <c r="H1276" s="59" t="str">
        <f>Table1[[#This Row],[Tabela]]&amp;Table1[[#This Row],[Campo]]</f>
        <v>lt004_protectionprtctn_id</v>
      </c>
      <c r="I1276" s="2" t="s">
        <v>619</v>
      </c>
      <c r="J1276" s="45">
        <f>VLOOKUP(Table1[[#This Row],[Status]],Auxiliar!$B$16:$C$24,2,0)</f>
        <v>7</v>
      </c>
      <c r="K1276" s="21" t="s">
        <v>1271</v>
      </c>
      <c r="L1276" s="46" t="s">
        <v>1272</v>
      </c>
      <c r="M1276" s="21" t="s">
        <v>1273</v>
      </c>
      <c r="N1276" s="48">
        <v>45590</v>
      </c>
      <c r="O1276" s="113">
        <v>0.1</v>
      </c>
      <c r="P1276" s="2"/>
      <c r="Q1276" s="152"/>
      <c r="R1276" s="152">
        <v>45589</v>
      </c>
      <c r="S1276" s="152"/>
      <c r="T1276" s="152">
        <v>45589</v>
      </c>
      <c r="U1276" s="152"/>
      <c r="V1276" s="152"/>
      <c r="W1276" s="2">
        <f>VLOOKUP(Table1[[#This Row],[Status]],Auxiliar!$B$16:$D$24,3,0)*Table1[[#This Row],[Estimação (horas)]]</f>
        <v>2.5000000000000001E-2</v>
      </c>
      <c r="X1276" s="206"/>
    </row>
    <row r="1277" spans="2:24" ht="17.7" hidden="1" customHeight="1">
      <c r="B1277" s="39" t="s">
        <v>26</v>
      </c>
      <c r="C1277" s="39" t="s">
        <v>26</v>
      </c>
      <c r="D1277" s="13" t="s">
        <v>400</v>
      </c>
      <c r="E1277" s="112" t="s">
        <v>38</v>
      </c>
      <c r="F1277" s="2" t="s">
        <v>369</v>
      </c>
      <c r="G1277" s="13" t="s">
        <v>435</v>
      </c>
      <c r="H1277" s="59" t="str">
        <f>Table1[[#This Row],[Tabela]]&amp;Table1[[#This Row],[Campo]]</f>
        <v>lt004_protectionrl_estt_clltrl_lctn</v>
      </c>
      <c r="I1277" s="2" t="s">
        <v>619</v>
      </c>
      <c r="J1277" s="45">
        <f>VLOOKUP(Table1[[#This Row],[Status]],Auxiliar!$B$16:$C$24,2,0)</f>
        <v>7</v>
      </c>
      <c r="K1277" s="21" t="s">
        <v>1271</v>
      </c>
      <c r="L1277" s="46" t="s">
        <v>1272</v>
      </c>
      <c r="M1277" s="21" t="s">
        <v>1273</v>
      </c>
      <c r="N1277" s="48">
        <v>45590</v>
      </c>
      <c r="O1277" s="113">
        <v>0.1</v>
      </c>
      <c r="P1277" s="2"/>
      <c r="Q1277" s="152"/>
      <c r="R1277" s="152">
        <v>45589</v>
      </c>
      <c r="S1277" s="152"/>
      <c r="T1277" s="152">
        <v>45589</v>
      </c>
      <c r="U1277" s="152"/>
      <c r="V1277" s="152"/>
      <c r="W1277" s="2">
        <f>VLOOKUP(Table1[[#This Row],[Status]],Auxiliar!$B$16:$D$24,3,0)*Table1[[#This Row],[Estimação (horas)]]</f>
        <v>2.5000000000000001E-2</v>
      </c>
      <c r="X1277" s="206"/>
    </row>
    <row r="1278" spans="2:24" ht="17.7" hidden="1" customHeight="1">
      <c r="B1278" s="39" t="s">
        <v>26</v>
      </c>
      <c r="C1278" s="39" t="s">
        <v>26</v>
      </c>
      <c r="D1278" s="13" t="s">
        <v>400</v>
      </c>
      <c r="E1278" s="112" t="s">
        <v>38</v>
      </c>
      <c r="F1278" s="2" t="s">
        <v>369</v>
      </c>
      <c r="G1278" s="13" t="s">
        <v>436</v>
      </c>
      <c r="H1278" s="59" t="str">
        <f>Table1[[#This Row],[Tabela]]&amp;Table1[[#This Row],[Campo]]</f>
        <v>lt004_protectionrl_estt_pst_cd</v>
      </c>
      <c r="I1278" s="2" t="s">
        <v>619</v>
      </c>
      <c r="J1278" s="45">
        <f>VLOOKUP(Table1[[#This Row],[Status]],Auxiliar!$B$16:$C$24,2,0)</f>
        <v>7</v>
      </c>
      <c r="K1278" s="21" t="s">
        <v>1271</v>
      </c>
      <c r="L1278" s="46" t="s">
        <v>1272</v>
      </c>
      <c r="M1278" s="21" t="s">
        <v>1273</v>
      </c>
      <c r="N1278" s="48">
        <v>45590</v>
      </c>
      <c r="O1278" s="113">
        <v>0.1</v>
      </c>
      <c r="P1278" s="2"/>
      <c r="Q1278" s="152"/>
      <c r="R1278" s="152">
        <v>45589</v>
      </c>
      <c r="S1278" s="152"/>
      <c r="T1278" s="152">
        <v>45589</v>
      </c>
      <c r="U1278" s="152"/>
      <c r="V1278" s="152"/>
      <c r="W1278" s="2">
        <f>VLOOKUP(Table1[[#This Row],[Status]],Auxiliar!$B$16:$D$24,3,0)*Table1[[#This Row],[Estimação (horas)]]</f>
        <v>2.5000000000000001E-2</v>
      </c>
      <c r="X1278" s="206"/>
    </row>
    <row r="1279" spans="2:24" ht="17.7" customHeight="1">
      <c r="B1279" s="39" t="s">
        <v>26</v>
      </c>
      <c r="C1279" s="39" t="s">
        <v>26</v>
      </c>
      <c r="D1279" s="13" t="s">
        <v>400</v>
      </c>
      <c r="E1279" s="112" t="s">
        <v>38</v>
      </c>
      <c r="F1279" s="2" t="s">
        <v>369</v>
      </c>
      <c r="G1279" s="13" t="s">
        <v>437</v>
      </c>
      <c r="H1279" s="59" t="str">
        <f>Table1[[#This Row],[Tabela]]&amp;Table1[[#This Row],[Campo]]</f>
        <v>lt004_protectiontyp_prtctn</v>
      </c>
      <c r="I1279" s="2" t="s">
        <v>616</v>
      </c>
      <c r="J1279" s="45">
        <f>VLOOKUP(Table1[[#This Row],[Status]],Auxiliar!$B$16:$C$24,2,0)</f>
        <v>5</v>
      </c>
      <c r="K1279" s="21" t="s">
        <v>1271</v>
      </c>
      <c r="L1279" s="46" t="s">
        <v>1272</v>
      </c>
      <c r="M1279" s="21" t="s">
        <v>1273</v>
      </c>
      <c r="N1279" s="48">
        <v>45590</v>
      </c>
      <c r="O1279" s="113">
        <v>0.1</v>
      </c>
      <c r="P1279" s="2" t="s">
        <v>1385</v>
      </c>
      <c r="Q1279" s="152"/>
      <c r="R1279" s="152"/>
      <c r="S1279" s="152"/>
      <c r="T1279" s="152">
        <v>45588</v>
      </c>
      <c r="U1279" s="152"/>
      <c r="V1279" s="152"/>
      <c r="W1279" s="2">
        <f>VLOOKUP(Table1[[#This Row],[Status]],Auxiliar!$B$16:$D$24,3,0)*Table1[[#This Row],[Estimação (horas)]]</f>
        <v>2.5000000000000001E-2</v>
      </c>
      <c r="X1279" s="206"/>
    </row>
    <row r="1280" spans="2:24" ht="17.7" hidden="1" customHeight="1">
      <c r="B1280" s="39" t="s">
        <v>26</v>
      </c>
      <c r="C1280" s="39" t="s">
        <v>26</v>
      </c>
      <c r="D1280" s="13" t="s">
        <v>400</v>
      </c>
      <c r="E1280" s="112" t="s">
        <v>38</v>
      </c>
      <c r="F1280" s="2" t="s">
        <v>369</v>
      </c>
      <c r="G1280" s="13" t="s">
        <v>438</v>
      </c>
      <c r="H1280" s="59" t="str">
        <f>Table1[[#This Row],[Tabela]]&amp;Table1[[#This Row],[Campo]]</f>
        <v>lt004_protectionorgnl_prtctn_vl</v>
      </c>
      <c r="I1280" s="2" t="s">
        <v>1948</v>
      </c>
      <c r="J1280" s="45">
        <f>VLOOKUP(Table1[[#This Row],[Status]],Auxiliar!$B$16:$C$24,2,0)</f>
        <v>3</v>
      </c>
      <c r="K1280" s="21" t="s">
        <v>1271</v>
      </c>
      <c r="L1280" s="46" t="s">
        <v>1272</v>
      </c>
      <c r="M1280" s="21" t="s">
        <v>1273</v>
      </c>
      <c r="N1280" s="48">
        <v>45583</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369</v>
      </c>
      <c r="G1281" s="13" t="s">
        <v>439</v>
      </c>
      <c r="H1281" s="59" t="str">
        <f>Table1[[#This Row],[Tabela]]&amp;Table1[[#This Row],[Campo]]</f>
        <v>lt004_protectionprtctn_vl</v>
      </c>
      <c r="I1281" s="2" t="s">
        <v>619</v>
      </c>
      <c r="J1281" s="45">
        <f>VLOOKUP(Table1[[#This Row],[Status]],Auxiliar!$B$16:$C$24,2,0)</f>
        <v>7</v>
      </c>
      <c r="K1281" s="21" t="s">
        <v>1271</v>
      </c>
      <c r="L1281" s="46" t="s">
        <v>1272</v>
      </c>
      <c r="M1281" s="21" t="s">
        <v>1273</v>
      </c>
      <c r="N1281" s="48">
        <v>45590</v>
      </c>
      <c r="O1281" s="113">
        <v>0.1</v>
      </c>
      <c r="P1281" s="2"/>
      <c r="Q1281" s="152"/>
      <c r="R1281" s="152">
        <v>45589</v>
      </c>
      <c r="S1281" s="152"/>
      <c r="T1281" s="152">
        <v>45589</v>
      </c>
      <c r="U1281" s="152"/>
      <c r="V1281" s="152"/>
      <c r="W1281" s="2">
        <f>VLOOKUP(Table1[[#This Row],[Status]],Auxiliar!$B$16:$D$24,3,0)*Table1[[#This Row],[Estimação (horas)]]</f>
        <v>2.5000000000000001E-2</v>
      </c>
      <c r="X1281" s="206"/>
    </row>
    <row r="1282" spans="2:24" ht="17.7" hidden="1" customHeight="1">
      <c r="B1282" s="39" t="s">
        <v>26</v>
      </c>
      <c r="C1282" s="39" t="s">
        <v>26</v>
      </c>
      <c r="D1282" s="20" t="s">
        <v>400</v>
      </c>
      <c r="E1282" s="112" t="s">
        <v>38</v>
      </c>
      <c r="F1282" s="32" t="s">
        <v>369</v>
      </c>
      <c r="G1282" t="s">
        <v>417</v>
      </c>
      <c r="H1282" s="59" t="str">
        <f>Table1[[#This Row],[Tabela]]&amp;Table1[[#This Row],[Campo]]</f>
        <v>lt004_protectioncod_soc</v>
      </c>
      <c r="I1282" s="2" t="s">
        <v>614</v>
      </c>
      <c r="J1282" s="45">
        <f>VLOOKUP(Table1[[#This Row],[Status]],Auxiliar!$B$16:$C$24,2,0)</f>
        <v>1</v>
      </c>
      <c r="K1282" s="21" t="s">
        <v>1271</v>
      </c>
      <c r="L1282" s="46" t="s">
        <v>1272</v>
      </c>
      <c r="M1282" s="21" t="s">
        <v>1273</v>
      </c>
      <c r="N1282" s="48">
        <v>45590</v>
      </c>
      <c r="O1282" s="113">
        <v>0.1</v>
      </c>
      <c r="P1282" s="32" t="s">
        <v>1359</v>
      </c>
      <c r="Q1282" s="206"/>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20" t="s">
        <v>400</v>
      </c>
      <c r="E1283" s="112" t="s">
        <v>38</v>
      </c>
      <c r="F1283" s="2" t="s">
        <v>440</v>
      </c>
      <c r="G1283" s="13" t="s">
        <v>399</v>
      </c>
      <c r="H1283" s="59" t="str">
        <f>Table1[[#This Row],[Tabela]]&amp;Table1[[#This Row],[Campo]]</f>
        <v>lt005_instr_entdt_rfrnc</v>
      </c>
      <c r="I1283" s="2" t="s">
        <v>614</v>
      </c>
      <c r="J1283" s="45">
        <f>VLOOKUP(Table1[[#This Row],[Status]],Auxiliar!$B$16:$C$24,2,0)</f>
        <v>1</v>
      </c>
      <c r="K1283" s="21" t="s">
        <v>1271</v>
      </c>
      <c r="L1283" s="46" t="s">
        <v>1272</v>
      </c>
      <c r="M1283" s="21" t="s">
        <v>1273</v>
      </c>
      <c r="N1283" s="48">
        <v>45510</v>
      </c>
      <c r="O1283" s="113">
        <v>0.1</v>
      </c>
      <c r="P1283" s="2"/>
      <c r="Q1283" s="206"/>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20" t="s">
        <v>400</v>
      </c>
      <c r="E1284" s="112" t="s">
        <v>38</v>
      </c>
      <c r="F1284" s="2" t="s">
        <v>440</v>
      </c>
      <c r="G1284" s="13" t="s">
        <v>426</v>
      </c>
      <c r="H1284" s="59" t="str">
        <f>Table1[[#This Row],[Tabela]]&amp;Table1[[#This Row],[Campo]]</f>
        <v>lt005_instr_ententty_id</v>
      </c>
      <c r="I1284" s="2" t="s">
        <v>614</v>
      </c>
      <c r="J1284" s="45">
        <f>VLOOKUP(Table1[[#This Row],[Status]],Auxiliar!$B$16:$C$24,2,0)</f>
        <v>1</v>
      </c>
      <c r="K1284" s="21" t="s">
        <v>1271</v>
      </c>
      <c r="L1284" s="46" t="s">
        <v>1272</v>
      </c>
      <c r="M1284" s="21" t="s">
        <v>1273</v>
      </c>
      <c r="N1284" s="48">
        <v>45510</v>
      </c>
      <c r="O1284" s="113">
        <v>0.1</v>
      </c>
      <c r="P1284" s="2"/>
      <c r="Q1284" s="206"/>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20" t="s">
        <v>400</v>
      </c>
      <c r="E1285" s="112" t="s">
        <v>38</v>
      </c>
      <c r="F1285" s="2" t="s">
        <v>440</v>
      </c>
      <c r="G1285" s="13" t="s">
        <v>401</v>
      </c>
      <c r="H1285" s="59" t="str">
        <f>Table1[[#This Row],[Tabela]]&amp;Table1[[#This Row],[Campo]]</f>
        <v>lt005_instr_entinstrmnt_id</v>
      </c>
      <c r="I1285" s="2" t="s">
        <v>614</v>
      </c>
      <c r="J1285" s="45">
        <f>VLOOKUP(Table1[[#This Row],[Status]],Auxiliar!$B$16:$C$24,2,0)</f>
        <v>1</v>
      </c>
      <c r="K1285" s="21" t="s">
        <v>1271</v>
      </c>
      <c r="L1285" s="46" t="s">
        <v>1272</v>
      </c>
      <c r="M1285" s="21" t="s">
        <v>1273</v>
      </c>
      <c r="N1285" s="48">
        <v>45510</v>
      </c>
      <c r="O1285" s="113">
        <v>0.1</v>
      </c>
      <c r="P1285" s="2"/>
      <c r="Q1285" s="206"/>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20" t="s">
        <v>400</v>
      </c>
      <c r="E1286" s="112" t="s">
        <v>38</v>
      </c>
      <c r="F1286" s="2" t="s">
        <v>440</v>
      </c>
      <c r="G1286" s="13" t="s">
        <v>417</v>
      </c>
      <c r="H1286" s="59" t="str">
        <f>Table1[[#This Row],[Tabela]]&amp;Table1[[#This Row],[Campo]]</f>
        <v>lt005_instr_entcod_soc</v>
      </c>
      <c r="I1286" s="2" t="s">
        <v>614</v>
      </c>
      <c r="J1286" s="45">
        <f>VLOOKUP(Table1[[#This Row],[Status]],Auxiliar!$B$16:$C$24,2,0)</f>
        <v>1</v>
      </c>
      <c r="K1286" s="21" t="s">
        <v>1271</v>
      </c>
      <c r="L1286" s="46" t="s">
        <v>1272</v>
      </c>
      <c r="M1286" s="21" t="s">
        <v>1273</v>
      </c>
      <c r="N1286" s="48">
        <v>45510</v>
      </c>
      <c r="O1286" s="113">
        <v>0.1</v>
      </c>
      <c r="P1286" s="2"/>
      <c r="Q1286" s="206"/>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20" t="s">
        <v>400</v>
      </c>
      <c r="E1287" s="112" t="s">
        <v>38</v>
      </c>
      <c r="F1287" s="2" t="s">
        <v>440</v>
      </c>
      <c r="G1287" s="13" t="s">
        <v>441</v>
      </c>
      <c r="H1287" s="59" t="str">
        <f>Table1[[#This Row],[Tabela]]&amp;Table1[[#This Row],[Campo]]</f>
        <v>lt005_instr_entmn_entty_id</v>
      </c>
      <c r="I1287" s="2" t="s">
        <v>614</v>
      </c>
      <c r="J1287" s="45">
        <f>VLOOKUP(Table1[[#This Row],[Status]],Auxiliar!$B$16:$C$24,2,0)</f>
        <v>1</v>
      </c>
      <c r="K1287" s="21" t="s">
        <v>1271</v>
      </c>
      <c r="L1287" s="46" t="s">
        <v>1272</v>
      </c>
      <c r="M1287" s="21" t="s">
        <v>1273</v>
      </c>
      <c r="N1287" s="48">
        <v>45510</v>
      </c>
      <c r="O1287" s="113">
        <v>0.1</v>
      </c>
      <c r="P1287" s="2"/>
      <c r="Q1287" s="206"/>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20" t="s">
        <v>400</v>
      </c>
      <c r="E1288" s="112" t="s">
        <v>38</v>
      </c>
      <c r="F1288" s="2" t="s">
        <v>442</v>
      </c>
      <c r="G1288" s="13" t="s">
        <v>399</v>
      </c>
      <c r="H1288" s="59" t="str">
        <f>Table1[[#This Row],[Tabela]]&amp;Table1[[#This Row],[Campo]]</f>
        <v>lt006_instr_protdt_rfrnc</v>
      </c>
      <c r="I1288" s="2" t="s">
        <v>614</v>
      </c>
      <c r="J1288" s="45">
        <f>VLOOKUP(Table1[[#This Row],[Status]],Auxiliar!$B$16:$C$24,2,0)</f>
        <v>1</v>
      </c>
      <c r="K1288" s="21" t="s">
        <v>1271</v>
      </c>
      <c r="L1288" s="46" t="s">
        <v>1272</v>
      </c>
      <c r="M1288" s="21" t="s">
        <v>1273</v>
      </c>
      <c r="N1288" s="48">
        <v>45509</v>
      </c>
      <c r="O1288" s="113">
        <v>0.1</v>
      </c>
      <c r="P1288" s="2"/>
      <c r="Q1288" s="206"/>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20" t="s">
        <v>400</v>
      </c>
      <c r="E1289" s="112" t="s">
        <v>38</v>
      </c>
      <c r="F1289" s="2" t="s">
        <v>442</v>
      </c>
      <c r="G1289" s="13" t="s">
        <v>401</v>
      </c>
      <c r="H1289" s="59" t="str">
        <f>Table1[[#This Row],[Tabela]]&amp;Table1[[#This Row],[Campo]]</f>
        <v>lt006_instr_protinstrmnt_id</v>
      </c>
      <c r="I1289" s="2" t="s">
        <v>614</v>
      </c>
      <c r="J1289" s="45">
        <f>VLOOKUP(Table1[[#This Row],[Status]],Auxiliar!$B$16:$C$24,2,0)</f>
        <v>1</v>
      </c>
      <c r="K1289" s="21" t="s">
        <v>1271</v>
      </c>
      <c r="L1289" s="46" t="s">
        <v>1272</v>
      </c>
      <c r="M1289" s="21" t="s">
        <v>1273</v>
      </c>
      <c r="N1289" s="48">
        <v>45509</v>
      </c>
      <c r="O1289" s="113">
        <v>0.1</v>
      </c>
      <c r="P1289" s="2"/>
      <c r="Q1289" s="206"/>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20" t="s">
        <v>400</v>
      </c>
      <c r="E1290" s="112" t="s">
        <v>38</v>
      </c>
      <c r="F1290" s="2" t="s">
        <v>442</v>
      </c>
      <c r="G1290" s="13" t="s">
        <v>434</v>
      </c>
      <c r="H1290" s="59" t="str">
        <f>Table1[[#This Row],[Tabela]]&amp;Table1[[#This Row],[Campo]]</f>
        <v>lt006_instr_protprtctn_id</v>
      </c>
      <c r="I1290" s="2" t="s">
        <v>614</v>
      </c>
      <c r="J1290" s="45">
        <f>VLOOKUP(Table1[[#This Row],[Status]],Auxiliar!$B$16:$C$24,2,0)</f>
        <v>1</v>
      </c>
      <c r="K1290" s="21" t="s">
        <v>1271</v>
      </c>
      <c r="L1290" s="46" t="s">
        <v>1272</v>
      </c>
      <c r="M1290" s="21" t="s">
        <v>1273</v>
      </c>
      <c r="N1290" s="48">
        <v>45509</v>
      </c>
      <c r="O1290" s="113">
        <v>0.1</v>
      </c>
      <c r="P1290" s="2"/>
      <c r="Q1290" s="206"/>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20" t="s">
        <v>400</v>
      </c>
      <c r="E1291" s="112" t="s">
        <v>38</v>
      </c>
      <c r="F1291" s="2" t="s">
        <v>442</v>
      </c>
      <c r="G1291" s="13" t="s">
        <v>443</v>
      </c>
      <c r="H1291" s="59" t="str">
        <f>Table1[[#This Row],[Tabela]]&amp;Table1[[#This Row],[Campo]]</f>
        <v>lt006_instr_protprtctn_allctd_vl</v>
      </c>
      <c r="I1291" s="2" t="s">
        <v>614</v>
      </c>
      <c r="J1291" s="45">
        <f>VLOOKUP(Table1[[#This Row],[Status]],Auxiliar!$B$16:$C$24,2,0)</f>
        <v>1</v>
      </c>
      <c r="K1291" s="21" t="s">
        <v>1271</v>
      </c>
      <c r="L1291" s="46" t="s">
        <v>1272</v>
      </c>
      <c r="M1291" s="21" t="s">
        <v>1273</v>
      </c>
      <c r="N1291" s="48">
        <v>45509</v>
      </c>
      <c r="O1291" s="113">
        <v>0.1</v>
      </c>
      <c r="P1291" s="2"/>
      <c r="Q1291" s="206"/>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442</v>
      </c>
      <c r="G1292" s="20" t="s">
        <v>417</v>
      </c>
      <c r="H1292" s="59" t="str">
        <f>Table1[[#This Row],[Tabela]]&amp;Table1[[#This Row],[Campo]]</f>
        <v>lt006_instr_protcod_soc</v>
      </c>
      <c r="I1292" s="2" t="s">
        <v>614</v>
      </c>
      <c r="J1292" s="45">
        <f>VLOOKUP(Table1[[#This Row],[Status]],Auxiliar!$B$16:$C$24,2,0)</f>
        <v>1</v>
      </c>
      <c r="K1292" s="21" t="s">
        <v>1271</v>
      </c>
      <c r="L1292" s="46" t="s">
        <v>1272</v>
      </c>
      <c r="M1292" s="21" t="s">
        <v>1273</v>
      </c>
      <c r="N1292" s="48">
        <v>45509</v>
      </c>
      <c r="O1292" s="113">
        <v>0.1</v>
      </c>
      <c r="P1292" s="32"/>
      <c r="Q1292" s="206"/>
      <c r="R1292" s="152"/>
      <c r="S1292" s="152"/>
      <c r="T1292" s="152"/>
      <c r="U1292" s="152"/>
      <c r="V1292" s="152"/>
      <c r="W1292" s="2">
        <f>VLOOKUP(Table1[[#This Row],[Status]],Auxiliar!$B$16:$D$24,3,0)*Table1[[#This Row],[Estimação (horas)]]</f>
        <v>0.1</v>
      </c>
      <c r="X1292" s="206"/>
    </row>
    <row r="1293" spans="2:24" ht="17.7" hidden="1" customHeight="1">
      <c r="B1293" s="13" t="s">
        <v>26</v>
      </c>
      <c r="C1293" s="13" t="s">
        <v>181</v>
      </c>
      <c r="D1293" s="13" t="s">
        <v>1320</v>
      </c>
      <c r="E1293" s="2" t="s">
        <v>38</v>
      </c>
      <c r="F1293" s="2" t="s">
        <v>219</v>
      </c>
      <c r="G1293" s="13" t="s">
        <v>221</v>
      </c>
      <c r="H1293" s="59" t="str">
        <f>Table1[[#This Row],[Tabela]]&amp;Table1[[#This Row],[Campo]]</f>
        <v>modesg_inp_emss_nacenome_regiao</v>
      </c>
      <c r="I1293" s="2" t="s">
        <v>613</v>
      </c>
      <c r="J1293" s="45">
        <f>VLOOKUP(Table1[[#This Row],[Status]],Auxiliar!$B$16:$C$24,2,0)</f>
        <v>0</v>
      </c>
      <c r="K1293" s="21" t="s">
        <v>1277</v>
      </c>
      <c r="L1293" s="21" t="s">
        <v>1284</v>
      </c>
      <c r="M1293" s="21" t="s">
        <v>1273</v>
      </c>
      <c r="N1293" s="48">
        <v>45501</v>
      </c>
      <c r="O1293" s="21">
        <f>INDEX(Auxiliar!$D$5:$F$13,MATCH(Table1[[#This Row],[Tipologia_Testes]],Auxiliar!$B$5:$B$13,0),MATCH(Table1[[#This Row],[Complexidade]],Auxiliar!$D$4:$F$4,0))</f>
        <v>0.5</v>
      </c>
      <c r="P1293" s="2"/>
      <c r="Q1293" s="206"/>
      <c r="R1293" s="152"/>
      <c r="S1293" s="152"/>
      <c r="T1293" s="152"/>
      <c r="U1293" s="152"/>
      <c r="V1293" s="152"/>
      <c r="W1293" s="2">
        <f>VLOOKUP(Table1[[#This Row],[Status]],Auxiliar!$B$16:$D$24,3,0)*Table1[[#This Row],[Estimação (horas)]]</f>
        <v>0</v>
      </c>
      <c r="X1293" s="206"/>
    </row>
    <row r="1294" spans="2:24" ht="17.7" hidden="1" customHeight="1">
      <c r="B1294" s="13" t="s">
        <v>26</v>
      </c>
      <c r="C1294" s="13" t="s">
        <v>181</v>
      </c>
      <c r="D1294" s="13" t="s">
        <v>1320</v>
      </c>
      <c r="E1294" s="2" t="s">
        <v>38</v>
      </c>
      <c r="F1294" s="2" t="s">
        <v>219</v>
      </c>
      <c r="G1294" s="13" t="s">
        <v>665</v>
      </c>
      <c r="H1294" s="59" t="str">
        <f>Table1[[#This Row],[Tabela]]&amp;Table1[[#This Row],[Campo]]</f>
        <v>modesg_inp_emss_nacearea_atividade</v>
      </c>
      <c r="I1294" s="2" t="s">
        <v>613</v>
      </c>
      <c r="J1294" s="45">
        <f>VLOOKUP(Table1[[#This Row],[Status]],Auxiliar!$B$16:$C$24,2,0)</f>
        <v>0</v>
      </c>
      <c r="K1294" s="21" t="s">
        <v>1277</v>
      </c>
      <c r="L1294" s="21" t="s">
        <v>1284</v>
      </c>
      <c r="M1294" s="21" t="s">
        <v>1273</v>
      </c>
      <c r="N1294" s="48">
        <v>45501</v>
      </c>
      <c r="O1294" s="21">
        <f>INDEX(Auxiliar!$D$5:$F$13,MATCH(Table1[[#This Row],[Tipologia_Testes]],Auxiliar!$B$5:$B$13,0),MATCH(Table1[[#This Row],[Complexidade]],Auxiliar!$D$4:$F$4,0))</f>
        <v>0.5</v>
      </c>
      <c r="P1294" s="2"/>
      <c r="Q1294" s="206"/>
      <c r="R1294" s="152"/>
      <c r="S1294" s="152"/>
      <c r="T1294" s="152"/>
      <c r="U1294" s="152"/>
      <c r="V1294" s="152"/>
      <c r="W1294" s="2">
        <f>VLOOKUP(Table1[[#This Row],[Status]],Auxiliar!$B$16:$D$24,3,0)*Table1[[#This Row],[Estimação (horas)]]</f>
        <v>0</v>
      </c>
      <c r="X1294" s="206"/>
    </row>
    <row r="1295" spans="2:24" ht="17.7" hidden="1" customHeight="1">
      <c r="B1295" s="13" t="s">
        <v>26</v>
      </c>
      <c r="C1295" s="13" t="s">
        <v>181</v>
      </c>
      <c r="D1295" s="13" t="s">
        <v>1320</v>
      </c>
      <c r="E1295" s="2" t="s">
        <v>38</v>
      </c>
      <c r="F1295" s="2" t="s">
        <v>219</v>
      </c>
      <c r="G1295" s="13" t="s">
        <v>666</v>
      </c>
      <c r="H1295" s="59" t="str">
        <f>Table1[[#This Row],[Tabela]]&amp;Table1[[#This Row],[Campo]]</f>
        <v>modesg_inp_emss_nacetipo_atividade</v>
      </c>
      <c r="I1295" s="2" t="s">
        <v>613</v>
      </c>
      <c r="J1295" s="45">
        <f>VLOOKUP(Table1[[#This Row],[Status]],Auxiliar!$B$16:$C$24,2,0)</f>
        <v>0</v>
      </c>
      <c r="K1295" s="21" t="s">
        <v>1277</v>
      </c>
      <c r="L1295" s="21" t="s">
        <v>1284</v>
      </c>
      <c r="M1295" s="21" t="s">
        <v>1273</v>
      </c>
      <c r="N1295" s="48">
        <v>45501</v>
      </c>
      <c r="O1295" s="21">
        <f>INDEX(Auxiliar!$D$5:$F$13,MATCH(Table1[[#This Row],[Tipologia_Testes]],Auxiliar!$B$5:$B$13,0),MATCH(Table1[[#This Row],[Complexidade]],Auxiliar!$D$4:$F$4,0))</f>
        <v>0.5</v>
      </c>
      <c r="P1295" s="2"/>
      <c r="Q1295" s="206"/>
      <c r="R1295" s="152"/>
      <c r="S1295" s="152"/>
      <c r="T1295" s="152"/>
      <c r="U1295" s="152"/>
      <c r="V1295" s="152"/>
      <c r="W1295" s="2">
        <f>VLOOKUP(Table1[[#This Row],[Status]],Auxiliar!$B$16:$D$24,3,0)*Table1[[#This Row],[Estimação (horas)]]</f>
        <v>0</v>
      </c>
      <c r="X1295" s="206"/>
    </row>
    <row r="1296" spans="2:24" ht="17.7" hidden="1" customHeight="1">
      <c r="B1296" s="13" t="s">
        <v>26</v>
      </c>
      <c r="C1296" s="13" t="s">
        <v>181</v>
      </c>
      <c r="D1296" s="13" t="s">
        <v>1320</v>
      </c>
      <c r="E1296" s="2" t="s">
        <v>38</v>
      </c>
      <c r="F1296" s="2" t="s">
        <v>219</v>
      </c>
      <c r="G1296" s="13" t="s">
        <v>667</v>
      </c>
      <c r="H1296" s="59" t="str">
        <f>Table1[[#This Row],[Tabela]]&amp;Table1[[#This Row],[Campo]]</f>
        <v>modesg_inp_emss_nacesub_tipo_atividade_1</v>
      </c>
      <c r="I1296" s="2" t="s">
        <v>613</v>
      </c>
      <c r="J1296" s="45">
        <f>VLOOKUP(Table1[[#This Row],[Status]],Auxiliar!$B$16:$C$24,2,0)</f>
        <v>0</v>
      </c>
      <c r="K1296" s="21" t="s">
        <v>1277</v>
      </c>
      <c r="L1296" s="21" t="s">
        <v>1284</v>
      </c>
      <c r="M1296" s="21" t="s">
        <v>1273</v>
      </c>
      <c r="N1296" s="48">
        <v>45501</v>
      </c>
      <c r="O1296" s="21">
        <f>INDEX(Auxiliar!$D$5:$F$13,MATCH(Table1[[#This Row],[Tipologia_Testes]],Auxiliar!$B$5:$B$13,0),MATCH(Table1[[#This Row],[Complexidade]],Auxiliar!$D$4:$F$4,0))</f>
        <v>0.5</v>
      </c>
      <c r="P1296" s="2"/>
      <c r="Q1296" s="206"/>
      <c r="R1296" s="152"/>
      <c r="S1296" s="152"/>
      <c r="T1296" s="152"/>
      <c r="U1296" s="152"/>
      <c r="V1296" s="152"/>
      <c r="W1296" s="2">
        <f>VLOOKUP(Table1[[#This Row],[Status]],Auxiliar!$B$16:$D$24,3,0)*Table1[[#This Row],[Estimação (horas)]]</f>
        <v>0</v>
      </c>
      <c r="X1296" s="206"/>
    </row>
    <row r="1297" spans="2:24" ht="17.7" hidden="1" customHeight="1">
      <c r="B1297" s="13" t="s">
        <v>26</v>
      </c>
      <c r="C1297" s="13" t="s">
        <v>181</v>
      </c>
      <c r="D1297" s="13" t="s">
        <v>1320</v>
      </c>
      <c r="E1297" s="2" t="s">
        <v>38</v>
      </c>
      <c r="F1297" s="2" t="s">
        <v>219</v>
      </c>
      <c r="G1297" s="13" t="s">
        <v>668</v>
      </c>
      <c r="H1297" s="59" t="str">
        <f>Table1[[#This Row],[Tabela]]&amp;Table1[[#This Row],[Campo]]</f>
        <v>modesg_inp_emss_nacesub_tipo_atividade_2</v>
      </c>
      <c r="I1297" s="2" t="s">
        <v>613</v>
      </c>
      <c r="J1297" s="45">
        <f>VLOOKUP(Table1[[#This Row],[Status]],Auxiliar!$B$16:$C$24,2,0)</f>
        <v>0</v>
      </c>
      <c r="K1297" s="21" t="s">
        <v>1277</v>
      </c>
      <c r="L1297" s="21" t="s">
        <v>1284</v>
      </c>
      <c r="M1297" s="21" t="s">
        <v>1273</v>
      </c>
      <c r="N1297" s="48">
        <v>45501</v>
      </c>
      <c r="O1297" s="21">
        <f>INDEX(Auxiliar!$D$5:$F$13,MATCH(Table1[[#This Row],[Tipologia_Testes]],Auxiliar!$B$5:$B$13,0),MATCH(Table1[[#This Row],[Complexidade]],Auxiliar!$D$4:$F$4,0))</f>
        <v>0.5</v>
      </c>
      <c r="P1297" s="2"/>
      <c r="Q1297" s="206"/>
      <c r="R1297" s="152"/>
      <c r="S1297" s="152"/>
      <c r="T1297" s="152"/>
      <c r="U1297" s="152"/>
      <c r="V1297" s="152"/>
      <c r="W1297" s="2">
        <f>VLOOKUP(Table1[[#This Row],[Status]],Auxiliar!$B$16:$D$24,3,0)*Table1[[#This Row],[Estimação (horas)]]</f>
        <v>0</v>
      </c>
      <c r="X1297" s="206"/>
    </row>
    <row r="1298" spans="2:24" ht="17.7" hidden="1" customHeight="1">
      <c r="B1298" s="13" t="s">
        <v>26</v>
      </c>
      <c r="C1298" s="13" t="s">
        <v>181</v>
      </c>
      <c r="D1298" s="13" t="s">
        <v>1320</v>
      </c>
      <c r="E1298" s="2" t="s">
        <v>38</v>
      </c>
      <c r="F1298" s="2" t="s">
        <v>219</v>
      </c>
      <c r="G1298" s="13" t="s">
        <v>669</v>
      </c>
      <c r="H1298" s="59" t="str">
        <f>Table1[[#This Row],[Tabela]]&amp;Table1[[#This Row],[Campo]]</f>
        <v>modesg_inp_emss_naceunidades_unidade_funcional</v>
      </c>
      <c r="I1298" s="2" t="s">
        <v>613</v>
      </c>
      <c r="J1298" s="45">
        <f>VLOOKUP(Table1[[#This Row],[Status]],Auxiliar!$B$16:$C$24,2,0)</f>
        <v>0</v>
      </c>
      <c r="K1298" s="21" t="s">
        <v>1277</v>
      </c>
      <c r="L1298" s="21" t="s">
        <v>1284</v>
      </c>
      <c r="M1298" s="21" t="s">
        <v>1273</v>
      </c>
      <c r="N1298" s="48">
        <v>45501</v>
      </c>
      <c r="O1298" s="21">
        <f>INDEX(Auxiliar!$D$5:$F$13,MATCH(Table1[[#This Row],[Tipologia_Testes]],Auxiliar!$B$5:$B$13,0),MATCH(Table1[[#This Row],[Complexidade]],Auxiliar!$D$4:$F$4,0))</f>
        <v>0.5</v>
      </c>
      <c r="P1298" s="2"/>
      <c r="Q1298" s="206"/>
      <c r="R1298" s="152"/>
      <c r="S1298" s="152"/>
      <c r="T1298" s="152"/>
      <c r="U1298" s="152"/>
      <c r="V1298" s="152"/>
      <c r="W1298" s="2">
        <f>VLOOKUP(Table1[[#This Row],[Status]],Auxiliar!$B$16:$D$24,3,0)*Table1[[#This Row],[Estimação (horas)]]</f>
        <v>0</v>
      </c>
      <c r="X1298" s="206"/>
    </row>
    <row r="1299" spans="2:24" ht="17.7" hidden="1" customHeight="1">
      <c r="B1299" s="13" t="s">
        <v>26</v>
      </c>
      <c r="C1299" s="13" t="s">
        <v>181</v>
      </c>
      <c r="D1299" s="13" t="s">
        <v>1320</v>
      </c>
      <c r="E1299" s="2" t="s">
        <v>38</v>
      </c>
      <c r="F1299" s="2" t="s">
        <v>219</v>
      </c>
      <c r="G1299" s="13" t="s">
        <v>670</v>
      </c>
      <c r="H1299" s="59" t="str">
        <f>Table1[[#This Row],[Tabela]]&amp;Table1[[#This Row],[Campo]]</f>
        <v>modesg_inp_emss_nacefator_emissao</v>
      </c>
      <c r="I1299" s="2" t="s">
        <v>613</v>
      </c>
      <c r="J1299" s="45">
        <f>VLOOKUP(Table1[[#This Row],[Status]],Auxiliar!$B$16:$C$24,2,0)</f>
        <v>0</v>
      </c>
      <c r="K1299" s="21" t="s">
        <v>1277</v>
      </c>
      <c r="L1299" s="21" t="s">
        <v>1284</v>
      </c>
      <c r="M1299" s="21" t="s">
        <v>1273</v>
      </c>
      <c r="N1299" s="48">
        <v>45501</v>
      </c>
      <c r="O1299" s="21">
        <f>INDEX(Auxiliar!$D$5:$F$13,MATCH(Table1[[#This Row],[Tipologia_Testes]],Auxiliar!$B$5:$B$13,0),MATCH(Table1[[#This Row],[Complexidade]],Auxiliar!$D$4:$F$4,0))</f>
        <v>0.5</v>
      </c>
      <c r="P1299" s="2"/>
      <c r="Q1299" s="206"/>
      <c r="R1299" s="152"/>
      <c r="S1299" s="152"/>
      <c r="T1299" s="152"/>
      <c r="U1299" s="152"/>
      <c r="V1299" s="152"/>
      <c r="W1299" s="2">
        <f>VLOOKUP(Table1[[#This Row],[Status]],Auxiliar!$B$16:$D$24,3,0)*Table1[[#This Row],[Estimação (horas)]]</f>
        <v>0</v>
      </c>
      <c r="X1299" s="206"/>
    </row>
    <row r="1300" spans="2:24" ht="17.7" hidden="1" customHeight="1">
      <c r="B1300" s="13" t="s">
        <v>26</v>
      </c>
      <c r="C1300" s="13" t="s">
        <v>181</v>
      </c>
      <c r="D1300" s="13" t="s">
        <v>1320</v>
      </c>
      <c r="E1300" s="2" t="s">
        <v>38</v>
      </c>
      <c r="F1300" s="2" t="s">
        <v>214</v>
      </c>
      <c r="G1300" s="13" t="s">
        <v>671</v>
      </c>
      <c r="H1300" s="59" t="str">
        <f>Table1[[#This Row],[Tabela]]&amp;Table1[[#This Row],[Campo]]</f>
        <v>modesg_inp_km_medios_emss_vclsmedia_scp1_emss</v>
      </c>
      <c r="I1300" s="2" t="s">
        <v>613</v>
      </c>
      <c r="J1300" s="45">
        <f>VLOOKUP(Table1[[#This Row],[Status]],Auxiliar!$B$16:$C$24,2,0)</f>
        <v>0</v>
      </c>
      <c r="K1300" s="21" t="s">
        <v>1277</v>
      </c>
      <c r="L1300" s="21" t="s">
        <v>1284</v>
      </c>
      <c r="M1300" s="21" t="s">
        <v>1273</v>
      </c>
      <c r="N1300" s="48">
        <v>45491</v>
      </c>
      <c r="O1300" s="21">
        <f>INDEX(Auxiliar!$D$5:$F$13,MATCH(Table1[[#This Row],[Tipologia_Testes]],Auxiliar!$B$5:$B$13,0),MATCH(Table1[[#This Row],[Complexidade]],Auxiliar!$D$4:$F$4,0))</f>
        <v>0.5</v>
      </c>
      <c r="P1300" s="2"/>
      <c r="Q1300" s="206"/>
      <c r="R1300" s="152"/>
      <c r="S1300" s="152"/>
      <c r="T1300" s="152"/>
      <c r="U1300" s="152"/>
      <c r="V1300" s="152"/>
      <c r="W1300" s="2">
        <f>VLOOKUP(Table1[[#This Row],[Status]],Auxiliar!$B$16:$D$24,3,0)*Table1[[#This Row],[Estimação (horas)]]</f>
        <v>0</v>
      </c>
      <c r="X1300" s="206"/>
    </row>
    <row r="1301" spans="2:24" ht="17.7" hidden="1" customHeight="1">
      <c r="B1301" s="13" t="s">
        <v>26</v>
      </c>
      <c r="C1301" s="13" t="s">
        <v>181</v>
      </c>
      <c r="D1301" s="13" t="s">
        <v>1320</v>
      </c>
      <c r="E1301" s="2" t="s">
        <v>38</v>
      </c>
      <c r="F1301" s="2" t="s">
        <v>214</v>
      </c>
      <c r="G1301" s="13" t="s">
        <v>672</v>
      </c>
      <c r="H1301" s="59" t="str">
        <f>Table1[[#This Row],[Tabela]]&amp;Table1[[#This Row],[Campo]]</f>
        <v>modesg_inp_km_medios_emss_vclsmedia_scp2_emss</v>
      </c>
      <c r="I1301" s="2" t="s">
        <v>613</v>
      </c>
      <c r="J1301" s="45">
        <f>VLOOKUP(Table1[[#This Row],[Status]],Auxiliar!$B$16:$C$24,2,0)</f>
        <v>0</v>
      </c>
      <c r="K1301" s="21" t="s">
        <v>1277</v>
      </c>
      <c r="L1301" s="21" t="s">
        <v>1284</v>
      </c>
      <c r="M1301" s="21" t="s">
        <v>1273</v>
      </c>
      <c r="N1301" s="48">
        <v>45491</v>
      </c>
      <c r="O1301" s="21">
        <f>INDEX(Auxiliar!$D$5:$F$13,MATCH(Table1[[#This Row],[Tipologia_Testes]],Auxiliar!$B$5:$B$13,0),MATCH(Table1[[#This Row],[Complexidade]],Auxiliar!$D$4:$F$4,0))</f>
        <v>0.5</v>
      </c>
      <c r="P1301" s="2"/>
      <c r="Q1301" s="206"/>
      <c r="R1301" s="152"/>
      <c r="S1301" s="152"/>
      <c r="T1301" s="152"/>
      <c r="U1301" s="152"/>
      <c r="V1301" s="152"/>
      <c r="W1301" s="2">
        <f>VLOOKUP(Table1[[#This Row],[Status]],Auxiliar!$B$16:$D$24,3,0)*Table1[[#This Row],[Estimação (horas)]]</f>
        <v>0</v>
      </c>
      <c r="X1301" s="206"/>
    </row>
    <row r="1302" spans="2:24" ht="17.7" hidden="1" customHeight="1">
      <c r="B1302" s="20" t="s">
        <v>26</v>
      </c>
      <c r="C1302" s="20" t="s">
        <v>181</v>
      </c>
      <c r="D1302" s="13" t="s">
        <v>1320</v>
      </c>
      <c r="E1302" s="2" t="s">
        <v>38</v>
      </c>
      <c r="F1302" s="32" t="s">
        <v>214</v>
      </c>
      <c r="G1302" s="20" t="s">
        <v>673</v>
      </c>
      <c r="H1302" s="59" t="str">
        <f>Table1[[#This Row],[Tabela]]&amp;Table1[[#This Row],[Campo]]</f>
        <v>modesg_inp_km_medios_emss_vclsmedia_scp3_emss</v>
      </c>
      <c r="I1302" s="2" t="s">
        <v>613</v>
      </c>
      <c r="J1302" s="45">
        <f>VLOOKUP(Table1[[#This Row],[Status]],Auxiliar!$B$16:$C$24,2,0)</f>
        <v>0</v>
      </c>
      <c r="K1302" s="21" t="s">
        <v>1277</v>
      </c>
      <c r="L1302" s="21" t="s">
        <v>1284</v>
      </c>
      <c r="M1302" s="21" t="s">
        <v>1273</v>
      </c>
      <c r="N1302" s="48">
        <v>45491</v>
      </c>
      <c r="O1302" s="21">
        <f>INDEX(Auxiliar!$D$5:$F$13,MATCH(Table1[[#This Row],[Tipologia_Testes]],Auxiliar!$B$5:$B$13,0),MATCH(Table1[[#This Row],[Complexidade]],Auxiliar!$D$4:$F$4,0))</f>
        <v>0.5</v>
      </c>
      <c r="P1302" s="2" t="s">
        <v>1286</v>
      </c>
      <c r="Q1302" s="206"/>
      <c r="R1302" s="152"/>
      <c r="S1302" s="152"/>
      <c r="T1302" s="152"/>
      <c r="U1302" s="152"/>
      <c r="V1302" s="152"/>
      <c r="W1302" s="2">
        <f>VLOOKUP(Table1[[#This Row],[Status]],Auxiliar!$B$16:$D$24,3,0)*Table1[[#This Row],[Estimação (horas)]]</f>
        <v>0</v>
      </c>
      <c r="X1302"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6928D489-0130-4A60-BE2B-1D9108B02454}">
            <xm:f>NOT(ISERROR(SEARCH(Auxiliar!$B$21,I1011)))</xm:f>
            <xm:f>Auxiliar!$B$21</xm:f>
            <x14:dxf>
              <font>
                <b/>
                <i val="0"/>
                <color rgb="FFFFC000"/>
              </font>
              <fill>
                <patternFill>
                  <bgColor theme="9" tint="0.59996337778862885"/>
                </patternFill>
              </fill>
            </x14:dxf>
          </x14:cfRule>
          <x14:cfRule type="cellIs" priority="8" operator="equal" id="{E2F14AF0-878C-4184-86EE-1EC72D11FF82}">
            <xm:f>Auxiliar!$B$24</xm:f>
            <x14:dxf>
              <font>
                <b/>
                <i val="0"/>
                <color theme="1"/>
              </font>
              <fill>
                <patternFill patternType="darkUp">
                  <bgColor theme="0"/>
                </patternFill>
              </fill>
            </x14:dxf>
          </x14:cfRule>
          <x14:cfRule type="cellIs" priority="9" operator="equal" id="{662C2D77-73A6-422E-B043-D39190EAAFD3}">
            <xm:f>Auxiliar!$B$18</xm:f>
            <x14:dxf>
              <font>
                <b/>
                <i val="0"/>
                <color theme="0" tint="-0.499984740745262"/>
              </font>
              <fill>
                <patternFill>
                  <bgColor theme="0" tint="-4.9989318521683403E-2"/>
                </patternFill>
              </fill>
            </x14:dxf>
          </x14:cfRule>
          <x14:cfRule type="containsText" priority="10"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11"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12"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I1212:I1238 I1167:I1169</xm:sqref>
        </x14:conditionalFormatting>
        <x14:conditionalFormatting xmlns:xm="http://schemas.microsoft.com/office/excel/2006/main">
          <x14:cfRule type="containsText" priority="1" operator="containsText" id="{13A6F00C-4A99-4591-BA1E-940547EDC47E}">
            <xm:f>NOT(ISERROR(SEARCH(Auxiliar!$B$21,I1276)))</xm:f>
            <xm:f>Auxiliar!$B$21</xm:f>
            <x14:dxf>
              <font>
                <b/>
                <i val="0"/>
                <color rgb="FFFFC000"/>
              </font>
              <fill>
                <patternFill>
                  <bgColor theme="9" tint="0.59996337778862885"/>
                </patternFill>
              </fill>
            </x14:dxf>
          </x14:cfRule>
          <x14:cfRule type="cellIs" priority="2" operator="equal" id="{F77A5A00-EE63-49C6-B69B-DEF4C69B3AC2}">
            <xm:f>Auxiliar!$B$24</xm:f>
            <x14:dxf>
              <font>
                <b/>
                <i val="0"/>
                <color theme="1"/>
              </font>
              <fill>
                <patternFill patternType="darkUp">
                  <bgColor theme="0"/>
                </patternFill>
              </fill>
            </x14:dxf>
          </x14:cfRule>
          <x14:cfRule type="cellIs" priority="3" operator="equal" id="{DB207758-826D-4B4F-9F87-C19B70D54E03}">
            <xm:f>Auxiliar!$B$18</xm:f>
            <x14:dxf>
              <font>
                <b/>
                <i val="0"/>
                <color theme="0" tint="-0.499984740745262"/>
              </font>
              <fill>
                <patternFill>
                  <bgColor theme="0" tint="-4.9989318521683403E-2"/>
                </patternFill>
              </fill>
            </x14:dxf>
          </x14:cfRule>
          <x14:cfRule type="containsText" priority="4" operator="containsText" id="{A6AC8E33-F03D-4676-8E87-9972FF45CD35}">
            <xm:f>NOT(ISERROR(SEARCH(Auxiliar!$B$22,I1276)))</xm:f>
            <xm:f>Auxiliar!$B$22</xm:f>
            <x14:dxf>
              <font>
                <b/>
                <i val="0"/>
                <color rgb="FFC00000"/>
              </font>
              <fill>
                <patternFill>
                  <bgColor theme="4" tint="0.79998168889431442"/>
                </patternFill>
              </fill>
            </x14:dxf>
          </x14:cfRule>
          <x14:cfRule type="containsText" priority="5" operator="containsText" id="{B8AB0638-AB93-4C8A-A571-BC8A76C661B4}">
            <xm:f>NOT(ISERROR(SEARCH(Auxiliar!$B$19,I1276)))</xm:f>
            <xm:f>Auxiliar!$B$19</xm:f>
            <x14:dxf>
              <font>
                <b/>
                <i val="0"/>
                <color theme="9" tint="-0.499984740745262"/>
              </font>
              <fill>
                <patternFill>
                  <bgColor theme="9" tint="0.79998168889431442"/>
                </patternFill>
              </fill>
            </x14:dxf>
          </x14:cfRule>
          <x14:cfRule type="containsText" priority="6" operator="containsText" id="{5F397BDC-2D2E-4C25-B3C0-41B6E44490F6}">
            <xm:f>NOT(ISERROR(SEARCH(Auxiliar!$B$16,I1276)))</xm:f>
            <xm:f>Auxiliar!$B$16</xm:f>
            <x14:dxf>
              <font>
                <b/>
                <i val="0"/>
                <color theme="7"/>
              </font>
              <fill>
                <patternFill>
                  <bgColor theme="7" tint="0.79998168889431442"/>
                </patternFill>
              </fill>
            </x14:dxf>
          </x14:cfRule>
          <xm:sqref>I1276:I1282</xm:sqref>
        </x14:conditionalFormatting>
        <x14:conditionalFormatting xmlns:xm="http://schemas.microsoft.com/office/excel/2006/main">
          <x14:cfRule type="containsText" priority="13" operator="containsText" id="{FE7F90C9-5428-4F37-99B4-49F35DED47CB}">
            <xm:f>NOT(ISERROR(SEARCH(Auxiliar!$B$21,I9)))</xm:f>
            <xm:f>Auxiliar!$B$21</xm:f>
            <x14:dxf>
              <font>
                <b/>
                <i val="0"/>
                <color rgb="FFFFC000"/>
              </font>
              <fill>
                <patternFill>
                  <bgColor theme="9" tint="0.59996337778862885"/>
                </patternFill>
              </fill>
            </x14:dxf>
          </x14:cfRule>
          <x14:cfRule type="cellIs" priority="14" operator="equal" id="{242CBF72-8D3F-44A2-A9FE-DDAF10F3447F}">
            <xm:f>Auxiliar!$B$24</xm:f>
            <x14:dxf>
              <font>
                <b/>
                <i val="0"/>
                <color theme="1"/>
              </font>
              <fill>
                <patternFill patternType="darkUp">
                  <bgColor theme="0"/>
                </patternFill>
              </fill>
            </x14:dxf>
          </x14:cfRule>
          <x14:cfRule type="cellIs" priority="15" operator="equal" id="{037FACA4-D182-40BD-AF19-F3F735343A6F}">
            <xm:f>Auxiliar!$B$18</xm:f>
            <x14:dxf>
              <font>
                <b/>
                <i val="0"/>
                <color theme="0" tint="-0.499984740745262"/>
              </font>
              <fill>
                <patternFill>
                  <bgColor theme="0" tint="-4.9989318521683403E-2"/>
                </patternFill>
              </fill>
            </x14:dxf>
          </x14:cfRule>
          <x14:cfRule type="containsText" priority="1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8" operator="containsText" id="{A8657430-99A2-4591-8CDA-FB18D0976C56}">
            <xm:f>NOT(ISERROR(SEARCH(Auxiliar!$B$16,I9)))</xm:f>
            <xm:f>Auxiliar!$B$16</xm:f>
            <x14:dxf>
              <font>
                <b/>
                <i val="0"/>
                <color theme="7"/>
              </font>
              <fill>
                <patternFill>
                  <bgColor theme="7" tint="0.79998168889431442"/>
                </patternFill>
              </fill>
            </x14:dxf>
          </x14:cfRule>
          <xm:sqref>I9:J322 I323:I343</xm:sqref>
        </x14:conditionalFormatting>
        <x14:conditionalFormatting xmlns:xm="http://schemas.microsoft.com/office/excel/2006/main">
          <x14:cfRule type="containsText" priority="73" operator="containsText" id="{A0E353A4-BC40-460B-BB47-B57EC0BDDA87}">
            <xm:f>NOT(ISERROR(SEARCH(Auxiliar!$B$21,I344)))</xm:f>
            <xm:f>Auxiliar!$B$21</xm:f>
            <x14:dxf>
              <font>
                <b/>
                <i val="0"/>
                <color rgb="FFFFC000"/>
              </font>
              <fill>
                <patternFill>
                  <bgColor theme="9" tint="0.59996337778862885"/>
                </patternFill>
              </fill>
            </x14:dxf>
          </x14:cfRule>
          <x14:cfRule type="cellIs" priority="74" operator="equal" id="{461BEC2A-3AB6-4974-9160-0CC657CD83C0}">
            <xm:f>Auxiliar!$B$24</xm:f>
            <x14:dxf>
              <font>
                <b/>
                <i val="0"/>
                <color theme="1"/>
              </font>
              <fill>
                <patternFill patternType="darkUp">
                  <bgColor theme="0"/>
                </patternFill>
              </fill>
            </x14:dxf>
          </x14:cfRule>
          <x14:cfRule type="cellIs" priority="541" operator="equal" id="{5CC18A3F-CC0C-4983-A19C-E91C49A3DB8A}">
            <xm:f>Auxiliar!$B$18</xm:f>
            <x14:dxf>
              <font>
                <b/>
                <i val="0"/>
                <color theme="0" tint="-0.499984740745262"/>
              </font>
              <fill>
                <patternFill>
                  <bgColor theme="0" tint="-4.9989318521683403E-2"/>
                </patternFill>
              </fill>
            </x14:dxf>
          </x14:cfRule>
          <x14:cfRule type="containsText" priority="542"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543"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544"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J1167:J1169 J1212:J1238 J1276:J1282 I1283:J1302 I1170:J1211 I1143:J1166 I1239:J1275</xm:sqref>
        </x14:conditionalFormatting>
        <x14:conditionalFormatting xmlns:xm="http://schemas.microsoft.com/office/excel/2006/main">
          <x14:cfRule type="containsText" priority="25" operator="containsText" id="{576165AC-18FE-49D8-90D0-249BF5B7AAD2}">
            <xm:f>NOT(ISERROR(SEARCH(Auxiliar!$B$21,J323)))</xm:f>
            <xm:f>Auxiliar!$B$21</xm:f>
            <x14:dxf>
              <font>
                <b/>
                <i val="0"/>
                <color rgb="FFFFC000"/>
              </font>
              <fill>
                <patternFill>
                  <bgColor theme="9" tint="0.59996337778862885"/>
                </patternFill>
              </fill>
            </x14:dxf>
          </x14:cfRule>
          <x14:cfRule type="cellIs" priority="26" operator="equal" id="{2BEF1854-999B-428C-B198-117A6D75B6CF}">
            <xm:f>Auxiliar!$B$24</xm:f>
            <x14:dxf>
              <font>
                <b/>
                <i val="0"/>
                <color theme="1"/>
              </font>
              <fill>
                <patternFill patternType="darkUp">
                  <bgColor theme="0"/>
                </patternFill>
              </fill>
            </x14:dxf>
          </x14:cfRule>
          <x14:cfRule type="cellIs" priority="27" operator="equal" id="{82150E9C-7DB3-4C92-B25A-09099C09088C}">
            <xm:f>Auxiliar!$B$18</xm:f>
            <x14:dxf>
              <font>
                <b/>
                <i val="0"/>
                <color theme="0" tint="-0.499984740745262"/>
              </font>
              <fill>
                <patternFill>
                  <bgColor theme="0" tint="-4.9989318521683403E-2"/>
                </patternFill>
              </fill>
            </x14:dxf>
          </x14:cfRule>
          <x14:cfRule type="containsText" priority="28"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29"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30"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Auxiliar!$D$4:$F$4</xm:f>
          </x14:formula1>
          <xm:sqref>M9:M1302</xm:sqref>
        </x14:dataValidation>
        <x14:dataValidation type="list" allowBlank="1" showInputMessage="1" showErrorMessage="1">
          <x14:formula1>
            <xm:f>Auxiliar!$B$5:$B$13</xm:f>
          </x14:formula1>
          <xm:sqref>K9:K1302</xm:sqref>
        </x14:dataValidation>
        <x14:dataValidation type="list" allowBlank="1" showInputMessage="1" showErrorMessage="1">
          <x14:formula1>
            <xm:f>Auxiliar!$B$16:$B$24</xm:f>
          </x14:formula1>
          <xm:sqref>I9:I1302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1386</v>
      </c>
      <c r="B1" s="14" t="s">
        <v>1387</v>
      </c>
      <c r="C1" s="14" t="s">
        <v>1388</v>
      </c>
      <c r="D1" s="14" t="s">
        <v>1389</v>
      </c>
      <c r="E1" s="14" t="s">
        <v>1390</v>
      </c>
      <c r="F1" s="14" t="s">
        <v>1391</v>
      </c>
      <c r="G1" s="14" t="s">
        <v>1392</v>
      </c>
      <c r="H1" s="14" t="s">
        <v>1393</v>
      </c>
      <c r="I1" s="14" t="s">
        <v>1394</v>
      </c>
      <c r="J1" s="14" t="s">
        <v>1395</v>
      </c>
      <c r="K1" s="14" t="s">
        <v>1396</v>
      </c>
    </row>
    <row r="2" spans="1:11">
      <c r="A2" s="16" t="str">
        <f>VLOOKUP(E2,Table1[[#All],[Campo]],1,0)</f>
        <v>cod_soc</v>
      </c>
      <c r="B2" s="14" t="s">
        <v>1397</v>
      </c>
      <c r="C2" s="14" t="s">
        <v>1398</v>
      </c>
      <c r="D2" s="14" t="s">
        <v>1399</v>
      </c>
      <c r="E2" s="14" t="s">
        <v>1400</v>
      </c>
      <c r="F2" s="14" t="s">
        <v>1401</v>
      </c>
      <c r="G2" s="14" t="s">
        <v>1402</v>
      </c>
      <c r="H2" s="14" t="s">
        <v>624</v>
      </c>
      <c r="I2" s="14">
        <v>1096295</v>
      </c>
      <c r="J2" s="14">
        <v>0</v>
      </c>
      <c r="K2" s="14">
        <v>0</v>
      </c>
    </row>
    <row r="3" spans="1:11">
      <c r="A3" s="16" t="str">
        <f>VLOOKUP(E3,Table1[[#All],[Campo]],1,0)</f>
        <v>dt_rfrnc</v>
      </c>
      <c r="B3" s="14" t="s">
        <v>1403</v>
      </c>
      <c r="C3" s="14" t="s">
        <v>1404</v>
      </c>
      <c r="D3" s="14" t="s">
        <v>1399</v>
      </c>
      <c r="E3" s="14" t="s">
        <v>1405</v>
      </c>
      <c r="F3" s="14" t="s">
        <v>1406</v>
      </c>
      <c r="G3" s="14" t="s">
        <v>1402</v>
      </c>
      <c r="H3" s="14" t="s">
        <v>624</v>
      </c>
      <c r="I3" s="14">
        <v>1096295</v>
      </c>
      <c r="J3" s="14">
        <v>0</v>
      </c>
      <c r="K3" s="14">
        <v>0</v>
      </c>
    </row>
    <row r="4" spans="1:11">
      <c r="A4" s="16" t="str">
        <f>VLOOKUP(E4,Table1[[#All],[Campo]],1,0)</f>
        <v>cod_soc</v>
      </c>
      <c r="B4" s="14" t="s">
        <v>1407</v>
      </c>
      <c r="C4" s="14" t="s">
        <v>1398</v>
      </c>
      <c r="D4" s="14" t="s">
        <v>1408</v>
      </c>
      <c r="E4" s="14" t="s">
        <v>1400</v>
      </c>
      <c r="F4" s="14" t="s">
        <v>1401</v>
      </c>
      <c r="G4" s="14" t="s">
        <v>1409</v>
      </c>
      <c r="H4" s="14" t="s">
        <v>624</v>
      </c>
      <c r="I4" s="14">
        <v>2490665</v>
      </c>
      <c r="J4" s="14">
        <v>0</v>
      </c>
      <c r="K4" s="14">
        <v>0</v>
      </c>
    </row>
    <row r="5" spans="1:11">
      <c r="A5" s="16" t="str">
        <f>VLOOKUP(E5,Table1[[#All],[Campo]],1,0)</f>
        <v>dt_rfrnc</v>
      </c>
      <c r="B5" s="14" t="s">
        <v>1410</v>
      </c>
      <c r="C5" s="14" t="s">
        <v>1411</v>
      </c>
      <c r="D5" s="14" t="s">
        <v>1408</v>
      </c>
      <c r="E5" s="14" t="s">
        <v>1405</v>
      </c>
      <c r="F5" s="14" t="s">
        <v>1406</v>
      </c>
      <c r="G5" s="14" t="s">
        <v>1409</v>
      </c>
      <c r="H5" s="14" t="s">
        <v>624</v>
      </c>
      <c r="I5" s="14">
        <v>2490665</v>
      </c>
      <c r="J5" s="14">
        <v>0</v>
      </c>
      <c r="K5" s="14">
        <v>0</v>
      </c>
    </row>
    <row r="6" spans="1:11">
      <c r="A6" s="16" t="str">
        <f>VLOOKUP(E6,Table1[[#All],[Campo]],1,0)</f>
        <v>instrmnt_id</v>
      </c>
      <c r="B6" s="14" t="s">
        <v>1412</v>
      </c>
      <c r="C6" s="14" t="s">
        <v>1413</v>
      </c>
      <c r="D6" s="14" t="s">
        <v>1408</v>
      </c>
      <c r="E6" s="14" t="s">
        <v>1414</v>
      </c>
      <c r="F6" s="14" t="s">
        <v>1401</v>
      </c>
      <c r="G6" s="14" t="s">
        <v>1409</v>
      </c>
      <c r="H6" s="14" t="s">
        <v>624</v>
      </c>
      <c r="I6" s="14">
        <v>2490665</v>
      </c>
      <c r="J6" s="14">
        <v>0</v>
      </c>
      <c r="K6" s="14">
        <v>0</v>
      </c>
    </row>
    <row r="7" spans="1:11">
      <c r="A7" s="16" t="str">
        <f>VLOOKUP(E7,Table1[[#All],[Campo]],1,0)</f>
        <v>cod_soc</v>
      </c>
      <c r="B7" s="14" t="s">
        <v>1415</v>
      </c>
      <c r="C7" s="14" t="s">
        <v>1398</v>
      </c>
      <c r="D7" s="14" t="s">
        <v>1416</v>
      </c>
      <c r="E7" s="14" t="s">
        <v>1400</v>
      </c>
      <c r="F7" s="14" t="s">
        <v>1401</v>
      </c>
      <c r="G7" s="14" t="s">
        <v>1417</v>
      </c>
      <c r="H7" s="14" t="s">
        <v>624</v>
      </c>
      <c r="I7" s="14">
        <v>2002411</v>
      </c>
      <c r="J7" s="14">
        <v>0</v>
      </c>
      <c r="K7" s="14">
        <v>0</v>
      </c>
    </row>
    <row r="8" spans="1:11">
      <c r="A8" s="16" t="str">
        <f>VLOOKUP(E8,Table1[[#All],[Campo]],1,0)</f>
        <v>dt_rfrnc</v>
      </c>
      <c r="B8" s="14" t="s">
        <v>1418</v>
      </c>
      <c r="C8" s="14" t="s">
        <v>1411</v>
      </c>
      <c r="D8" s="14" t="s">
        <v>1416</v>
      </c>
      <c r="E8" s="14" t="s">
        <v>1405</v>
      </c>
      <c r="F8" s="14" t="s">
        <v>1406</v>
      </c>
      <c r="G8" s="14" t="s">
        <v>1417</v>
      </c>
      <c r="H8" s="14" t="s">
        <v>624</v>
      </c>
      <c r="I8" s="14">
        <v>2002411</v>
      </c>
      <c r="J8" s="14">
        <v>0</v>
      </c>
      <c r="K8" s="14">
        <v>0</v>
      </c>
    </row>
    <row r="9" spans="1:11">
      <c r="A9" s="16" t="str">
        <f>VLOOKUP(E9,Table1[[#All],[Campo]],1,0)</f>
        <v>instrmnt_id</v>
      </c>
      <c r="B9" s="14" t="s">
        <v>1419</v>
      </c>
      <c r="C9" s="14" t="s">
        <v>1413</v>
      </c>
      <c r="D9" s="14" t="s">
        <v>1416</v>
      </c>
      <c r="E9" s="14" t="s">
        <v>1414</v>
      </c>
      <c r="F9" s="14" t="s">
        <v>1401</v>
      </c>
      <c r="G9" s="14" t="s">
        <v>1417</v>
      </c>
      <c r="H9" s="14" t="s">
        <v>624</v>
      </c>
      <c r="I9" s="14">
        <v>2002411</v>
      </c>
      <c r="J9" s="14">
        <v>0</v>
      </c>
      <c r="K9" s="14">
        <v>0</v>
      </c>
    </row>
    <row r="10" spans="1:11">
      <c r="A10" s="16" t="str">
        <f>VLOOKUP(E10,Table1[[#All],[Campo]],1,0)</f>
        <v>dflt_stts_instrmnt</v>
      </c>
      <c r="B10" s="14" t="s">
        <v>1420</v>
      </c>
      <c r="C10" s="14" t="s">
        <v>1421</v>
      </c>
      <c r="D10" s="14" t="s">
        <v>1422</v>
      </c>
      <c r="E10" s="14" t="s">
        <v>1423</v>
      </c>
      <c r="F10" s="14" t="s">
        <v>1424</v>
      </c>
      <c r="G10" s="14" t="s">
        <v>1417</v>
      </c>
      <c r="H10" s="14" t="s">
        <v>1425</v>
      </c>
      <c r="I10" s="14">
        <v>2002411</v>
      </c>
      <c r="J10" s="14">
        <v>96182</v>
      </c>
      <c r="K10" s="14">
        <v>4.8033000000000001</v>
      </c>
    </row>
    <row r="11" spans="1:11">
      <c r="A11" s="16" t="str">
        <f>VLOOKUP(E11,Table1[[#All],[Campo]],1,0)</f>
        <v>prfrmng_stts</v>
      </c>
      <c r="B11" s="14" t="s">
        <v>1426</v>
      </c>
      <c r="C11" s="14" t="s">
        <v>1427</v>
      </c>
      <c r="D11" s="14" t="s">
        <v>1422</v>
      </c>
      <c r="E11" s="14" t="s">
        <v>1428</v>
      </c>
      <c r="F11" s="14" t="s">
        <v>1424</v>
      </c>
      <c r="G11" s="14" t="s">
        <v>1417</v>
      </c>
      <c r="H11" s="14" t="s">
        <v>624</v>
      </c>
      <c r="I11" s="14">
        <v>2002411</v>
      </c>
      <c r="J11" s="14">
        <v>0</v>
      </c>
      <c r="K11" s="14">
        <v>0</v>
      </c>
    </row>
    <row r="12" spans="1:11">
      <c r="A12" s="16" t="str">
        <f>VLOOKUP(E12,Table1[[#All],[Campo]],1,0)</f>
        <v>lcl_instmrnt_id</v>
      </c>
      <c r="B12" s="14" t="s">
        <v>1429</v>
      </c>
      <c r="C12" s="14" t="s">
        <v>1430</v>
      </c>
      <c r="D12" s="14" t="s">
        <v>1416</v>
      </c>
      <c r="E12" s="14" t="s">
        <v>1431</v>
      </c>
      <c r="F12" s="14" t="s">
        <v>1401</v>
      </c>
      <c r="G12" s="14" t="s">
        <v>1417</v>
      </c>
      <c r="H12" s="14" t="s">
        <v>1425</v>
      </c>
      <c r="I12" s="14">
        <v>2002411</v>
      </c>
      <c r="J12" s="14">
        <v>2002411</v>
      </c>
      <c r="K12" s="14">
        <v>100</v>
      </c>
    </row>
    <row r="13" spans="1:11">
      <c r="A13" s="16" t="str">
        <f>VLOOKUP(E13,Table1[[#All],[Campo]],1,0)</f>
        <v>sstnbl_indctr</v>
      </c>
      <c r="B13" s="14" t="s">
        <v>1432</v>
      </c>
      <c r="C13" s="14" t="s">
        <v>1433</v>
      </c>
      <c r="D13" s="14" t="s">
        <v>1422</v>
      </c>
      <c r="E13" s="14" t="s">
        <v>1434</v>
      </c>
      <c r="F13" s="14" t="s">
        <v>1435</v>
      </c>
      <c r="G13" s="14" t="s">
        <v>1417</v>
      </c>
      <c r="H13" s="14" t="s">
        <v>1425</v>
      </c>
      <c r="I13" s="14">
        <v>2002318</v>
      </c>
      <c r="J13" s="14">
        <v>2002318</v>
      </c>
      <c r="K13" s="14">
        <v>100</v>
      </c>
    </row>
    <row r="14" spans="1:11">
      <c r="A14" s="16" t="str">
        <f>VLOOKUP(E14,Table1[[#All],[Campo]],1,0)</f>
        <v>sstnbl_ctgry</v>
      </c>
      <c r="B14" s="14" t="s">
        <v>1436</v>
      </c>
      <c r="C14" s="14" t="s">
        <v>1437</v>
      </c>
      <c r="D14" s="14" t="s">
        <v>1422</v>
      </c>
      <c r="E14" s="14" t="s">
        <v>1438</v>
      </c>
      <c r="F14" s="14" t="s">
        <v>1435</v>
      </c>
      <c r="G14" s="14" t="s">
        <v>1417</v>
      </c>
      <c r="H14" s="14" t="s">
        <v>1425</v>
      </c>
      <c r="I14" s="14">
        <v>2002318</v>
      </c>
      <c r="J14" s="14">
        <v>2002318</v>
      </c>
      <c r="K14" s="14">
        <v>100</v>
      </c>
    </row>
    <row r="15" spans="1:11">
      <c r="A15" s="16" t="e">
        <f>VLOOKUP(E15,Table1[[#All],[Campo]],1,0)</f>
        <v>#N/A</v>
      </c>
      <c r="B15" s="14" t="s">
        <v>1439</v>
      </c>
      <c r="C15" s="14" t="s">
        <v>1440</v>
      </c>
      <c r="D15" s="14" t="s">
        <v>1422</v>
      </c>
      <c r="E15" s="14" t="s">
        <v>1441</v>
      </c>
      <c r="F15" s="14" t="s">
        <v>1435</v>
      </c>
      <c r="G15" s="14" t="s">
        <v>1417</v>
      </c>
      <c r="H15" s="14" t="s">
        <v>1425</v>
      </c>
      <c r="I15" s="14">
        <v>2002411</v>
      </c>
      <c r="J15" s="14">
        <v>2002411</v>
      </c>
      <c r="K15" s="14">
        <v>100</v>
      </c>
    </row>
    <row r="16" spans="1:11">
      <c r="A16" s="16" t="e">
        <f>VLOOKUP(E16,Table1[[#All],[Campo]],1,0)</f>
        <v>#N/A</v>
      </c>
      <c r="B16" s="14" t="s">
        <v>1442</v>
      </c>
      <c r="C16" s="14" t="s">
        <v>1443</v>
      </c>
      <c r="D16" s="14" t="s">
        <v>1422</v>
      </c>
      <c r="E16" s="14" t="s">
        <v>1444</v>
      </c>
      <c r="F16" s="14" t="s">
        <v>1435</v>
      </c>
      <c r="G16" s="14" t="s">
        <v>1417</v>
      </c>
      <c r="H16" s="14" t="s">
        <v>1425</v>
      </c>
      <c r="I16" s="14">
        <v>2002411</v>
      </c>
      <c r="J16" s="14">
        <v>2002411</v>
      </c>
      <c r="K16" s="14">
        <v>100</v>
      </c>
    </row>
    <row r="17" spans="1:11">
      <c r="A17" s="16" t="e">
        <f>VLOOKUP(E17,Table1[[#All],[Campo]],1,0)</f>
        <v>#N/A</v>
      </c>
      <c r="B17" s="14" t="s">
        <v>1445</v>
      </c>
      <c r="C17" s="14" t="s">
        <v>1446</v>
      </c>
      <c r="D17" s="14" t="s">
        <v>1422</v>
      </c>
      <c r="E17" s="14" t="s">
        <v>1447</v>
      </c>
      <c r="F17" s="14" t="s">
        <v>1435</v>
      </c>
      <c r="G17" s="14" t="s">
        <v>1417</v>
      </c>
      <c r="H17" s="14" t="s">
        <v>1425</v>
      </c>
      <c r="I17" s="14">
        <v>2002411</v>
      </c>
      <c r="J17" s="14">
        <v>2002411</v>
      </c>
      <c r="K17" s="14">
        <v>100</v>
      </c>
    </row>
    <row r="18" spans="1:11">
      <c r="A18" s="16" t="e">
        <f>VLOOKUP(E18,Table1[[#All],[Campo]],1,0)</f>
        <v>#N/A</v>
      </c>
      <c r="B18" s="14" t="s">
        <v>1448</v>
      </c>
      <c r="C18" s="14" t="s">
        <v>1449</v>
      </c>
      <c r="D18" s="14" t="s">
        <v>1422</v>
      </c>
      <c r="E18" s="14" t="s">
        <v>1450</v>
      </c>
      <c r="F18" s="14" t="s">
        <v>1435</v>
      </c>
      <c r="G18" s="14" t="s">
        <v>1417</v>
      </c>
      <c r="H18" s="14" t="s">
        <v>1425</v>
      </c>
      <c r="I18" s="14">
        <v>2002411</v>
      </c>
      <c r="J18" s="14">
        <v>2002411</v>
      </c>
      <c r="K18" s="14">
        <v>100</v>
      </c>
    </row>
    <row r="19" spans="1:11">
      <c r="A19" s="16" t="s">
        <v>1451</v>
      </c>
      <c r="B19" s="14" t="s">
        <v>1452</v>
      </c>
      <c r="C19" s="14" t="s">
        <v>1453</v>
      </c>
      <c r="D19" s="14" t="s">
        <v>1422</v>
      </c>
      <c r="E19" s="14" t="s">
        <v>1454</v>
      </c>
      <c r="F19" s="14" t="s">
        <v>1435</v>
      </c>
      <c r="G19" s="14" t="s">
        <v>1417</v>
      </c>
      <c r="H19" s="14" t="s">
        <v>1425</v>
      </c>
      <c r="I19" s="14">
        <v>2002411</v>
      </c>
      <c r="J19" s="14">
        <v>2002411</v>
      </c>
      <c r="K19" s="14">
        <v>100</v>
      </c>
    </row>
    <row r="20" spans="1:11">
      <c r="A20" s="16" t="str">
        <f>VLOOKUP(E20,Table1[[#All],[Campo]],1,0)</f>
        <v>idcmb</v>
      </c>
      <c r="B20" s="14" t="s">
        <v>1455</v>
      </c>
      <c r="C20" s="14" t="s">
        <v>1456</v>
      </c>
      <c r="D20" s="14" t="s">
        <v>1416</v>
      </c>
      <c r="E20" s="14" t="s">
        <v>1457</v>
      </c>
      <c r="F20" s="14" t="s">
        <v>1401</v>
      </c>
      <c r="G20" s="14" t="s">
        <v>1417</v>
      </c>
      <c r="H20" s="14" t="s">
        <v>1425</v>
      </c>
      <c r="I20" s="14">
        <v>2002411</v>
      </c>
      <c r="J20" s="14">
        <v>1</v>
      </c>
      <c r="K20" s="14">
        <v>0</v>
      </c>
    </row>
    <row r="21" spans="1:11">
      <c r="A21" s="16" t="str">
        <f>VLOOKUP(E21,Table1[[#All],[Campo]],1,0)</f>
        <v>cod_soc</v>
      </c>
      <c r="B21" s="14" t="s">
        <v>1458</v>
      </c>
      <c r="C21" s="14" t="s">
        <v>1398</v>
      </c>
      <c r="D21" s="14" t="s">
        <v>1459</v>
      </c>
      <c r="E21" s="14" t="s">
        <v>1400</v>
      </c>
      <c r="F21" s="14" t="s">
        <v>1401</v>
      </c>
      <c r="G21" s="14" t="s">
        <v>1460</v>
      </c>
      <c r="H21" s="14" t="s">
        <v>624</v>
      </c>
      <c r="I21" s="14">
        <v>731165</v>
      </c>
      <c r="J21" s="14">
        <v>0</v>
      </c>
      <c r="K21" s="14">
        <v>0</v>
      </c>
    </row>
    <row r="22" spans="1:11">
      <c r="A22" s="16" t="str">
        <f>VLOOKUP(E22,Table1[[#All],[Campo]],1,0)</f>
        <v>dt_rfrnc</v>
      </c>
      <c r="B22" s="14" t="s">
        <v>1461</v>
      </c>
      <c r="C22" s="14" t="s">
        <v>1411</v>
      </c>
      <c r="D22" s="14" t="s">
        <v>1459</v>
      </c>
      <c r="E22" s="14" t="s">
        <v>1405</v>
      </c>
      <c r="F22" s="14" t="s">
        <v>1406</v>
      </c>
      <c r="G22" s="14" t="s">
        <v>1460</v>
      </c>
      <c r="H22" s="14" t="s">
        <v>624</v>
      </c>
      <c r="I22" s="14">
        <v>731165</v>
      </c>
      <c r="J22" s="14">
        <v>0</v>
      </c>
      <c r="K22" s="14">
        <v>0</v>
      </c>
    </row>
    <row r="23" spans="1:11">
      <c r="A23" s="16" t="str">
        <f>VLOOKUP(E23,Table1[[#All],[Campo]],1,0)</f>
        <v>instrmnt_id</v>
      </c>
      <c r="B23" s="14" t="s">
        <v>1462</v>
      </c>
      <c r="C23" s="14" t="s">
        <v>1413</v>
      </c>
      <c r="D23" s="14" t="s">
        <v>1459</v>
      </c>
      <c r="E23" s="14" t="s">
        <v>1414</v>
      </c>
      <c r="F23" s="14" t="s">
        <v>1401</v>
      </c>
      <c r="G23" s="14" t="s">
        <v>1460</v>
      </c>
      <c r="H23" s="14" t="s">
        <v>624</v>
      </c>
      <c r="I23" s="14">
        <v>731165</v>
      </c>
      <c r="J23" s="14">
        <v>0</v>
      </c>
      <c r="K23" s="14">
        <v>0</v>
      </c>
    </row>
    <row r="24" spans="1:11">
      <c r="A24" s="16" t="str">
        <f>VLOOKUP(E24,Table1[[#All],[Campo]],1,0)</f>
        <v>cod_soc</v>
      </c>
      <c r="B24" s="14" t="s">
        <v>1463</v>
      </c>
      <c r="C24" s="14" t="s">
        <v>1398</v>
      </c>
      <c r="D24" s="14" t="s">
        <v>1464</v>
      </c>
      <c r="E24" s="14" t="s">
        <v>1400</v>
      </c>
      <c r="F24" s="14" t="s">
        <v>1401</v>
      </c>
      <c r="G24" s="14" t="s">
        <v>1465</v>
      </c>
      <c r="H24" s="14" t="s">
        <v>624</v>
      </c>
      <c r="I24" s="14">
        <v>456960</v>
      </c>
      <c r="J24" s="14">
        <v>0</v>
      </c>
      <c r="K24" s="14">
        <v>0</v>
      </c>
    </row>
    <row r="25" spans="1:11">
      <c r="A25" s="16" t="str">
        <f>VLOOKUP(E25,Table1[[#All],[Campo]],1,0)</f>
        <v>dt_rfrnc</v>
      </c>
      <c r="B25" s="14" t="s">
        <v>1466</v>
      </c>
      <c r="C25" s="14" t="s">
        <v>1411</v>
      </c>
      <c r="D25" s="14" t="s">
        <v>1464</v>
      </c>
      <c r="E25" s="14" t="s">
        <v>1405</v>
      </c>
      <c r="F25" s="14" t="s">
        <v>1406</v>
      </c>
      <c r="G25" s="14" t="s">
        <v>1465</v>
      </c>
      <c r="H25" s="14" t="s">
        <v>624</v>
      </c>
      <c r="I25" s="14">
        <v>456960</v>
      </c>
      <c r="J25" s="14">
        <v>0</v>
      </c>
      <c r="K25" s="14">
        <v>0</v>
      </c>
    </row>
    <row r="26" spans="1:11">
      <c r="A26" s="16" t="str">
        <f>VLOOKUP(E26,Table1[[#All],[Campo]],1,0)</f>
        <v>instrmnt_id</v>
      </c>
      <c r="B26" s="14" t="s">
        <v>1467</v>
      </c>
      <c r="C26" s="14" t="s">
        <v>1468</v>
      </c>
      <c r="D26" s="14" t="s">
        <v>1422</v>
      </c>
      <c r="E26" s="14" t="s">
        <v>1414</v>
      </c>
      <c r="F26" s="14" t="s">
        <v>1469</v>
      </c>
      <c r="G26" s="14" t="s">
        <v>1470</v>
      </c>
      <c r="H26" s="14" t="s">
        <v>624</v>
      </c>
      <c r="I26" s="14">
        <v>2003033</v>
      </c>
      <c r="J26" s="14">
        <v>0</v>
      </c>
      <c r="K26" s="14">
        <v>0</v>
      </c>
    </row>
    <row r="27" spans="1:11">
      <c r="A27" s="16" t="str">
        <f>VLOOKUP(E27,Table1[[#All],[Campo]],1,0)</f>
        <v>instrmnt_id</v>
      </c>
      <c r="B27" s="14" t="s">
        <v>1471</v>
      </c>
      <c r="C27" s="14" t="s">
        <v>1472</v>
      </c>
      <c r="D27" s="14" t="s">
        <v>1473</v>
      </c>
      <c r="E27" s="14" t="s">
        <v>1414</v>
      </c>
      <c r="F27" s="14" t="s">
        <v>1469</v>
      </c>
      <c r="G27" s="14" t="s">
        <v>1470</v>
      </c>
      <c r="H27" s="14" t="s">
        <v>624</v>
      </c>
      <c r="I27" s="14">
        <v>731165</v>
      </c>
      <c r="J27" s="14">
        <v>0</v>
      </c>
      <c r="K27" s="14">
        <v>0</v>
      </c>
    </row>
    <row r="28" spans="1:11">
      <c r="A28" s="16" t="str">
        <f>VLOOKUP(E28,Table1[[#All],[Campo]],1,0)</f>
        <v>cod_soc</v>
      </c>
      <c r="B28" s="14" t="s">
        <v>1474</v>
      </c>
      <c r="C28" s="14" t="s">
        <v>1475</v>
      </c>
      <c r="D28" s="14" t="s">
        <v>1476</v>
      </c>
      <c r="E28" s="14" t="s">
        <v>1400</v>
      </c>
      <c r="F28" s="14" t="s">
        <v>1477</v>
      </c>
      <c r="G28" s="14" t="s">
        <v>1478</v>
      </c>
      <c r="H28" s="14" t="s">
        <v>624</v>
      </c>
      <c r="I28" s="14">
        <v>1096295</v>
      </c>
      <c r="J28" s="14">
        <v>0</v>
      </c>
      <c r="K28" s="14">
        <v>0</v>
      </c>
    </row>
    <row r="29" spans="1:11">
      <c r="A29" s="16" t="str">
        <f>VLOOKUP(E29,Table1[[#All],[Campo]],1,0)</f>
        <v>dt_rfrnc</v>
      </c>
      <c r="B29" s="14" t="s">
        <v>1479</v>
      </c>
      <c r="C29" s="14" t="s">
        <v>1480</v>
      </c>
      <c r="D29" s="14" t="s">
        <v>1476</v>
      </c>
      <c r="E29" s="14" t="s">
        <v>1405</v>
      </c>
      <c r="F29" s="14" t="s">
        <v>1481</v>
      </c>
      <c r="G29" s="14" t="s">
        <v>1478</v>
      </c>
      <c r="H29" s="14" t="s">
        <v>624</v>
      </c>
      <c r="I29" s="14">
        <v>1096295</v>
      </c>
      <c r="J29" s="14">
        <v>0</v>
      </c>
      <c r="K29" s="14">
        <v>0</v>
      </c>
    </row>
    <row r="30" spans="1:11">
      <c r="A30" s="16" t="str">
        <f>VLOOKUP(E30,Table1[[#All],[Campo]],1,0)</f>
        <v>cod_soc</v>
      </c>
      <c r="B30" s="14" t="s">
        <v>1482</v>
      </c>
      <c r="C30" s="14" t="s">
        <v>1475</v>
      </c>
      <c r="D30" s="14" t="s">
        <v>1483</v>
      </c>
      <c r="E30" s="14" t="s">
        <v>1400</v>
      </c>
      <c r="F30" s="14" t="s">
        <v>1477</v>
      </c>
      <c r="G30" s="14" t="s">
        <v>1484</v>
      </c>
      <c r="H30" s="14" t="s">
        <v>624</v>
      </c>
      <c r="I30" s="14">
        <v>2490665</v>
      </c>
      <c r="J30" s="14">
        <v>0</v>
      </c>
      <c r="K30" s="14">
        <v>0</v>
      </c>
    </row>
    <row r="31" spans="1:11">
      <c r="A31" s="16" t="str">
        <f>VLOOKUP(E31,Table1[[#All],[Campo]],1,0)</f>
        <v>dt_rfrnc</v>
      </c>
      <c r="B31" s="14" t="s">
        <v>1485</v>
      </c>
      <c r="C31" s="14" t="s">
        <v>1486</v>
      </c>
      <c r="D31" s="14" t="s">
        <v>1483</v>
      </c>
      <c r="E31" s="14" t="s">
        <v>1405</v>
      </c>
      <c r="F31" s="14" t="s">
        <v>1481</v>
      </c>
      <c r="G31" s="14" t="s">
        <v>1484</v>
      </c>
      <c r="H31" s="14" t="s">
        <v>624</v>
      </c>
      <c r="I31" s="14">
        <v>2490665</v>
      </c>
      <c r="J31" s="14">
        <v>0</v>
      </c>
      <c r="K31" s="14">
        <v>0</v>
      </c>
    </row>
    <row r="32" spans="1:11">
      <c r="A32" s="16" t="str">
        <f>VLOOKUP(E32,Table1[[#All],[Campo]],1,0)</f>
        <v>instrmnt_id</v>
      </c>
      <c r="B32" s="14" t="s">
        <v>1487</v>
      </c>
      <c r="C32" s="14" t="s">
        <v>1488</v>
      </c>
      <c r="D32" s="14" t="s">
        <v>1483</v>
      </c>
      <c r="E32" s="14" t="s">
        <v>1414</v>
      </c>
      <c r="F32" s="14" t="s">
        <v>1489</v>
      </c>
      <c r="G32" s="14" t="s">
        <v>1484</v>
      </c>
      <c r="H32" s="14" t="s">
        <v>624</v>
      </c>
      <c r="I32" s="14">
        <v>2490665</v>
      </c>
      <c r="J32" s="14">
        <v>0</v>
      </c>
      <c r="K32" s="14">
        <v>0</v>
      </c>
    </row>
    <row r="33" spans="1:11">
      <c r="A33" s="16" t="str">
        <f>VLOOKUP(E33,Table1[[#All],[Campo]],1,0)</f>
        <v>cod_soc</v>
      </c>
      <c r="B33" s="14" t="s">
        <v>1490</v>
      </c>
      <c r="C33" s="14" t="s">
        <v>1475</v>
      </c>
      <c r="D33" s="14" t="s">
        <v>1422</v>
      </c>
      <c r="E33" s="14" t="s">
        <v>1400</v>
      </c>
      <c r="F33" s="14" t="s">
        <v>1477</v>
      </c>
      <c r="G33" s="14" t="s">
        <v>1491</v>
      </c>
      <c r="H33" s="14" t="s">
        <v>624</v>
      </c>
      <c r="I33" s="14">
        <v>2003033</v>
      </c>
      <c r="J33" s="14">
        <v>0</v>
      </c>
      <c r="K33" s="14">
        <v>0</v>
      </c>
    </row>
    <row r="34" spans="1:11">
      <c r="A34" s="16" t="str">
        <f>VLOOKUP(E34,Table1[[#All],[Campo]],1,0)</f>
        <v>subportfolio_id</v>
      </c>
      <c r="B34" s="14" t="s">
        <v>1492</v>
      </c>
      <c r="C34" s="14" t="s">
        <v>1493</v>
      </c>
      <c r="D34" s="14" t="s">
        <v>1422</v>
      </c>
      <c r="E34" s="14" t="s">
        <v>1494</v>
      </c>
      <c r="F34" s="14" t="s">
        <v>1477</v>
      </c>
      <c r="G34" s="14" t="s">
        <v>1491</v>
      </c>
      <c r="H34" s="14" t="s">
        <v>624</v>
      </c>
      <c r="I34" s="14">
        <v>2003033</v>
      </c>
      <c r="J34" s="14">
        <v>0</v>
      </c>
      <c r="K34" s="14">
        <v>0</v>
      </c>
    </row>
    <row r="35" spans="1:11">
      <c r="A35" s="16" t="str">
        <f>VLOOKUP(E35,Table1[[#All],[Campo]],1,0)</f>
        <v>dt_rfrnc</v>
      </c>
      <c r="B35" s="14" t="s">
        <v>1495</v>
      </c>
      <c r="C35" s="14" t="s">
        <v>1486</v>
      </c>
      <c r="D35" s="14" t="s">
        <v>1422</v>
      </c>
      <c r="E35" s="14" t="s">
        <v>1405</v>
      </c>
      <c r="F35" s="14" t="s">
        <v>1481</v>
      </c>
      <c r="G35" s="14" t="s">
        <v>1491</v>
      </c>
      <c r="H35" s="14" t="s">
        <v>624</v>
      </c>
      <c r="I35" s="14">
        <v>2003033</v>
      </c>
      <c r="J35" s="14">
        <v>0</v>
      </c>
      <c r="K35" s="14">
        <v>0</v>
      </c>
    </row>
    <row r="36" spans="1:11">
      <c r="A36" s="16" t="str">
        <f>VLOOKUP(E36,Table1[[#All],[Campo]],1,0)</f>
        <v>instrmnt_id</v>
      </c>
      <c r="B36" s="14" t="s">
        <v>1496</v>
      </c>
      <c r="C36" s="14" t="s">
        <v>1488</v>
      </c>
      <c r="D36" s="14" t="s">
        <v>1422</v>
      </c>
      <c r="E36" s="14" t="s">
        <v>1414</v>
      </c>
      <c r="F36" s="14" t="s">
        <v>1489</v>
      </c>
      <c r="G36" s="14" t="s">
        <v>1491</v>
      </c>
      <c r="H36" s="14" t="s">
        <v>624</v>
      </c>
      <c r="I36" s="14">
        <v>2003033</v>
      </c>
      <c r="J36" s="14">
        <v>0</v>
      </c>
      <c r="K36" s="14">
        <v>0</v>
      </c>
    </row>
    <row r="37" spans="1:11">
      <c r="A37" s="16" t="str">
        <f>VLOOKUP(E37,Table1[[#All],[Campo]],1,0)</f>
        <v>dflt_stts_instrmnt</v>
      </c>
      <c r="B37" s="14" t="s">
        <v>1497</v>
      </c>
      <c r="C37" s="14" t="s">
        <v>1498</v>
      </c>
      <c r="D37" s="14" t="s">
        <v>1422</v>
      </c>
      <c r="E37" s="14" t="s">
        <v>1423</v>
      </c>
      <c r="F37" s="14" t="s">
        <v>1477</v>
      </c>
      <c r="G37" s="14" t="s">
        <v>1491</v>
      </c>
      <c r="H37" s="14" t="s">
        <v>624</v>
      </c>
      <c r="I37" s="14">
        <v>2003033</v>
      </c>
      <c r="J37" s="14">
        <v>0</v>
      </c>
      <c r="K37" s="14">
        <v>0</v>
      </c>
    </row>
    <row r="38" spans="1:11">
      <c r="A38" s="16" t="str">
        <f>VLOOKUP(E38,Table1[[#All],[Campo]],1,0)</f>
        <v>imprmnt_stts</v>
      </c>
      <c r="B38" s="14" t="s">
        <v>1499</v>
      </c>
      <c r="C38" s="14" t="s">
        <v>1500</v>
      </c>
      <c r="D38" s="14" t="s">
        <v>1422</v>
      </c>
      <c r="E38" s="14" t="s">
        <v>1501</v>
      </c>
      <c r="F38" s="14" t="s">
        <v>1477</v>
      </c>
      <c r="G38" s="14" t="s">
        <v>1491</v>
      </c>
      <c r="H38" s="14" t="s">
        <v>624</v>
      </c>
      <c r="I38" s="14">
        <v>2003033</v>
      </c>
      <c r="J38" s="14">
        <v>0</v>
      </c>
      <c r="K38" s="14">
        <v>0</v>
      </c>
    </row>
    <row r="39" spans="1:11">
      <c r="A39" s="16" t="str">
        <f>VLOOKUP(E39,Table1[[#All],[Campo]],1,0)</f>
        <v>prfrmng_stts</v>
      </c>
      <c r="B39" s="14" t="s">
        <v>1502</v>
      </c>
      <c r="C39" s="14" t="s">
        <v>1503</v>
      </c>
      <c r="D39" s="14" t="s">
        <v>1422</v>
      </c>
      <c r="E39" s="14" t="s">
        <v>1428</v>
      </c>
      <c r="F39" s="14" t="s">
        <v>1477</v>
      </c>
      <c r="G39" s="14" t="s">
        <v>1491</v>
      </c>
      <c r="H39" s="14" t="s">
        <v>624</v>
      </c>
      <c r="I39" s="14">
        <v>2003033</v>
      </c>
      <c r="J39" s="14">
        <v>0</v>
      </c>
      <c r="K39" s="14">
        <v>0</v>
      </c>
    </row>
    <row r="40" spans="1:11">
      <c r="A40" s="16" t="str">
        <f>VLOOKUP(E40,Table1[[#All],[Campo]],1,0)</f>
        <v>typ_instrmnt</v>
      </c>
      <c r="B40" s="14" t="s">
        <v>1504</v>
      </c>
      <c r="C40" s="14" t="s">
        <v>1505</v>
      </c>
      <c r="D40" s="14" t="s">
        <v>1422</v>
      </c>
      <c r="E40" s="14" t="s">
        <v>1506</v>
      </c>
      <c r="F40" s="14" t="s">
        <v>1477</v>
      </c>
      <c r="G40" s="14" t="s">
        <v>1491</v>
      </c>
      <c r="H40" s="14" t="s">
        <v>624</v>
      </c>
      <c r="I40" s="14">
        <v>2003033</v>
      </c>
      <c r="J40" s="14">
        <v>0</v>
      </c>
      <c r="K40" s="14">
        <v>0</v>
      </c>
    </row>
    <row r="41" spans="1:11">
      <c r="A41" s="16" t="str">
        <f>VLOOKUP(E41,Table1[[#All],[Campo]],1,0)</f>
        <v>grss_crryng_amnt_instrmnt</v>
      </c>
      <c r="B41" s="14" t="s">
        <v>1507</v>
      </c>
      <c r="C41" s="14" t="s">
        <v>1508</v>
      </c>
      <c r="D41" s="14" t="s">
        <v>1422</v>
      </c>
      <c r="E41" s="14" t="s">
        <v>1509</v>
      </c>
      <c r="F41" s="14" t="s">
        <v>1510</v>
      </c>
      <c r="G41" s="14" t="s">
        <v>1491</v>
      </c>
      <c r="H41" s="14" t="s">
        <v>624</v>
      </c>
      <c r="I41" s="14">
        <v>2003033</v>
      </c>
      <c r="J41" s="14">
        <v>0</v>
      </c>
      <c r="K41" s="14">
        <v>0</v>
      </c>
    </row>
    <row r="42" spans="1:11">
      <c r="A42" s="16" t="str">
        <f>VLOOKUP(E42,Table1[[#All],[Campo]],1,0)</f>
        <v>accmltd_chngs_fv_cr_instrmnt</v>
      </c>
      <c r="B42" s="14" t="s">
        <v>1511</v>
      </c>
      <c r="C42" s="14" t="s">
        <v>1512</v>
      </c>
      <c r="D42" s="14" t="s">
        <v>1422</v>
      </c>
      <c r="E42" s="14" t="s">
        <v>1513</v>
      </c>
      <c r="F42" s="14" t="s">
        <v>1510</v>
      </c>
      <c r="G42" s="14" t="s">
        <v>1491</v>
      </c>
      <c r="H42" s="14" t="s">
        <v>624</v>
      </c>
      <c r="I42" s="14">
        <v>2003033</v>
      </c>
      <c r="J42" s="14">
        <v>0</v>
      </c>
      <c r="K42" s="14">
        <v>0</v>
      </c>
    </row>
    <row r="43" spans="1:11">
      <c r="A43" s="16" t="str">
        <f>VLOOKUP(E43,Table1[[#All],[Campo]],1,0)</f>
        <v>accntng_clssfctn</v>
      </c>
      <c r="B43" s="14" t="s">
        <v>1514</v>
      </c>
      <c r="C43" s="14" t="s">
        <v>1515</v>
      </c>
      <c r="D43" s="14" t="s">
        <v>1422</v>
      </c>
      <c r="E43" s="14" t="s">
        <v>1516</v>
      </c>
      <c r="F43" s="14" t="s">
        <v>1477</v>
      </c>
      <c r="G43" s="14" t="s">
        <v>1491</v>
      </c>
      <c r="H43" s="14" t="s">
        <v>624</v>
      </c>
      <c r="I43" s="14">
        <v>2003033</v>
      </c>
      <c r="J43" s="14">
        <v>0</v>
      </c>
      <c r="K43" s="14">
        <v>0</v>
      </c>
    </row>
    <row r="44" spans="1:11">
      <c r="A44" s="16" t="e">
        <f>VLOOKUP(E44,Table1[[#All],[Campo]],1,0)</f>
        <v>#N/A</v>
      </c>
      <c r="B44" s="14" t="s">
        <v>1517</v>
      </c>
      <c r="C44" s="14" t="s">
        <v>1518</v>
      </c>
      <c r="D44" s="14" t="s">
        <v>1422</v>
      </c>
      <c r="E44" s="14" t="s">
        <v>1519</v>
      </c>
      <c r="F44" s="14" t="s">
        <v>1510</v>
      </c>
      <c r="G44" s="14" t="s">
        <v>1491</v>
      </c>
      <c r="H44" s="14" t="s">
        <v>624</v>
      </c>
      <c r="I44" s="14">
        <v>2003033</v>
      </c>
      <c r="J44" s="14">
        <v>0</v>
      </c>
      <c r="K44" s="14">
        <v>0</v>
      </c>
    </row>
    <row r="45" spans="1:11">
      <c r="A45" s="16" t="e">
        <f>VLOOKUP(E45,Table1[[#All],[Campo]],1,0)</f>
        <v>#N/A</v>
      </c>
      <c r="B45" s="14" t="s">
        <v>1520</v>
      </c>
      <c r="C45" s="14" t="s">
        <v>1521</v>
      </c>
      <c r="D45" s="14" t="s">
        <v>1422</v>
      </c>
      <c r="E45" s="14" t="s">
        <v>1522</v>
      </c>
      <c r="F45" s="14" t="s">
        <v>1510</v>
      </c>
      <c r="G45" s="14" t="s">
        <v>1491</v>
      </c>
      <c r="H45" s="14" t="s">
        <v>624</v>
      </c>
      <c r="I45" s="14">
        <v>2003033</v>
      </c>
      <c r="J45" s="14">
        <v>0</v>
      </c>
      <c r="K45" s="14">
        <v>0</v>
      </c>
    </row>
    <row r="46" spans="1:11">
      <c r="A46" s="16" t="e">
        <f>VLOOKUP(E46,Table1[[#All],[Campo]],1,0)</f>
        <v>#N/A</v>
      </c>
      <c r="B46" s="14" t="s">
        <v>1523</v>
      </c>
      <c r="C46" s="14" t="s">
        <v>1524</v>
      </c>
      <c r="D46" s="14" t="s">
        <v>1422</v>
      </c>
      <c r="E46" s="14" t="s">
        <v>1525</v>
      </c>
      <c r="F46" s="14" t="s">
        <v>1510</v>
      </c>
      <c r="G46" s="14" t="s">
        <v>1491</v>
      </c>
      <c r="H46" s="14" t="s">
        <v>624</v>
      </c>
      <c r="I46" s="14">
        <v>2003033</v>
      </c>
      <c r="J46" s="14">
        <v>0</v>
      </c>
      <c r="K46" s="14">
        <v>0</v>
      </c>
    </row>
    <row r="47" spans="1:11">
      <c r="A47" s="16" t="str">
        <f>VLOOKUP(E47,Table1[[#All],[Campo]],1,0)</f>
        <v>accmltd_imprmnt_instrmnt</v>
      </c>
      <c r="B47" s="14" t="s">
        <v>1526</v>
      </c>
      <c r="C47" s="14" t="s">
        <v>1527</v>
      </c>
      <c r="D47" s="14" t="s">
        <v>1422</v>
      </c>
      <c r="E47" s="14" t="s">
        <v>1528</v>
      </c>
      <c r="F47" s="14" t="s">
        <v>1510</v>
      </c>
      <c r="G47" s="14" t="s">
        <v>1491</v>
      </c>
      <c r="H47" s="14" t="s">
        <v>624</v>
      </c>
      <c r="I47" s="14">
        <v>2003033</v>
      </c>
      <c r="J47" s="14">
        <v>0</v>
      </c>
      <c r="K47" s="14">
        <v>0</v>
      </c>
    </row>
    <row r="48" spans="1:11">
      <c r="A48" s="16" t="e">
        <f>VLOOKUP(E48,Table1[[#All],[Campo]],1,0)</f>
        <v>#N/A</v>
      </c>
      <c r="B48" s="14" t="s">
        <v>1529</v>
      </c>
      <c r="C48" s="14" t="s">
        <v>1530</v>
      </c>
      <c r="D48" s="14" t="s">
        <v>1422</v>
      </c>
      <c r="E48" s="14" t="s">
        <v>1531</v>
      </c>
      <c r="F48" s="14" t="s">
        <v>1477</v>
      </c>
      <c r="G48" s="14" t="s">
        <v>1491</v>
      </c>
      <c r="H48" s="14" t="s">
        <v>1425</v>
      </c>
      <c r="I48" s="14">
        <v>2003033</v>
      </c>
      <c r="J48" s="14">
        <v>744</v>
      </c>
      <c r="K48" s="14">
        <v>3.7100000000000001E-2</v>
      </c>
    </row>
    <row r="49" spans="1:11">
      <c r="A49" s="16" t="str">
        <f>VLOOKUP(E49,Table1[[#All],[Campo]],1,0)</f>
        <v>lcl_instmrnt_id</v>
      </c>
      <c r="B49" s="14" t="s">
        <v>1532</v>
      </c>
      <c r="C49" s="14" t="s">
        <v>1533</v>
      </c>
      <c r="D49" s="14" t="s">
        <v>1422</v>
      </c>
      <c r="E49" s="14" t="s">
        <v>1431</v>
      </c>
      <c r="F49" s="14" t="s">
        <v>1489</v>
      </c>
      <c r="G49" s="14" t="s">
        <v>1491</v>
      </c>
      <c r="H49" s="14" t="s">
        <v>624</v>
      </c>
      <c r="I49" s="14">
        <v>2003033</v>
      </c>
      <c r="J49" s="14">
        <v>0</v>
      </c>
      <c r="K49" s="14">
        <v>0</v>
      </c>
    </row>
    <row r="50" spans="1:11">
      <c r="A50" s="16" t="str">
        <f>VLOOKUP(E50,Table1[[#All],[Campo]],1,0)</f>
        <v>sstnbl_indctr</v>
      </c>
      <c r="B50" s="14" t="s">
        <v>1534</v>
      </c>
      <c r="C50" s="14" t="s">
        <v>1535</v>
      </c>
      <c r="D50" s="14" t="s">
        <v>1422</v>
      </c>
      <c r="E50" s="14" t="s">
        <v>1434</v>
      </c>
      <c r="F50" s="14" t="s">
        <v>1477</v>
      </c>
      <c r="G50" s="14" t="s">
        <v>1491</v>
      </c>
      <c r="H50" s="14" t="s">
        <v>1425</v>
      </c>
      <c r="I50" s="14">
        <v>2003033</v>
      </c>
      <c r="J50" s="14">
        <v>2003033</v>
      </c>
      <c r="K50" s="14">
        <v>100</v>
      </c>
    </row>
    <row r="51" spans="1:11">
      <c r="A51" s="16" t="str">
        <f>VLOOKUP(E51,Table1[[#All],[Campo]],1,0)</f>
        <v>sstnbl_ctgry</v>
      </c>
      <c r="B51" s="14" t="s">
        <v>1536</v>
      </c>
      <c r="C51" s="14" t="s">
        <v>1537</v>
      </c>
      <c r="D51" s="14" t="s">
        <v>1422</v>
      </c>
      <c r="E51" s="14" t="s">
        <v>1438</v>
      </c>
      <c r="F51" s="14" t="s">
        <v>1477</v>
      </c>
      <c r="G51" s="14" t="s">
        <v>1491</v>
      </c>
      <c r="H51" s="14" t="s">
        <v>1425</v>
      </c>
      <c r="I51" s="14">
        <v>2003033</v>
      </c>
      <c r="J51" s="14">
        <v>2003033</v>
      </c>
      <c r="K51" s="14">
        <v>100</v>
      </c>
    </row>
    <row r="52" spans="1:11">
      <c r="A52" s="16" t="e">
        <f>VLOOKUP(E52,Table1[[#All],[Campo]],1,0)</f>
        <v>#N/A</v>
      </c>
      <c r="B52" s="14" t="s">
        <v>1538</v>
      </c>
      <c r="C52" s="14" t="s">
        <v>1539</v>
      </c>
      <c r="D52" s="14" t="s">
        <v>1422</v>
      </c>
      <c r="E52" s="14" t="s">
        <v>1540</v>
      </c>
      <c r="F52" s="14" t="s">
        <v>1510</v>
      </c>
      <c r="G52" s="14" t="s">
        <v>1491</v>
      </c>
      <c r="H52" s="14" t="s">
        <v>624</v>
      </c>
      <c r="I52" s="14">
        <v>2003033</v>
      </c>
      <c r="J52" s="14">
        <v>0</v>
      </c>
      <c r="K52" s="14">
        <v>0</v>
      </c>
    </row>
    <row r="53" spans="1:11">
      <c r="A53" s="16" t="e">
        <f>VLOOKUP(E53,Table1[[#All],[Campo]],1,0)</f>
        <v>#N/A</v>
      </c>
      <c r="B53" s="14" t="s">
        <v>1541</v>
      </c>
      <c r="C53" s="14" t="s">
        <v>1542</v>
      </c>
      <c r="D53" s="14" t="s">
        <v>1422</v>
      </c>
      <c r="E53" s="14" t="s">
        <v>1441</v>
      </c>
      <c r="F53" s="14" t="s">
        <v>1477</v>
      </c>
      <c r="G53" s="14" t="s">
        <v>1491</v>
      </c>
      <c r="H53" s="14" t="s">
        <v>1425</v>
      </c>
      <c r="I53" s="14">
        <v>2003033</v>
      </c>
      <c r="J53" s="14">
        <v>2003033</v>
      </c>
      <c r="K53" s="14">
        <v>100</v>
      </c>
    </row>
    <row r="54" spans="1:11">
      <c r="A54" s="16" t="str">
        <f>VLOOKUP(E54,Table1[[#All],[Campo]],1,0)</f>
        <v>grss_intrst_incm</v>
      </c>
      <c r="B54" s="14" t="s">
        <v>1543</v>
      </c>
      <c r="C54" s="14" t="s">
        <v>1544</v>
      </c>
      <c r="D54" s="14" t="s">
        <v>1422</v>
      </c>
      <c r="E54" s="14" t="s">
        <v>1545</v>
      </c>
      <c r="F54" s="14" t="s">
        <v>1510</v>
      </c>
      <c r="G54" s="14" t="s">
        <v>1491</v>
      </c>
      <c r="H54" s="14" t="s">
        <v>624</v>
      </c>
      <c r="I54" s="14">
        <v>2003033</v>
      </c>
      <c r="J54" s="14">
        <v>0</v>
      </c>
      <c r="K54" s="14">
        <v>0</v>
      </c>
    </row>
    <row r="55" spans="1:11">
      <c r="A55" s="16" t="s">
        <v>1546</v>
      </c>
      <c r="B55" s="14" t="s">
        <v>1547</v>
      </c>
      <c r="C55" s="14" t="s">
        <v>1548</v>
      </c>
      <c r="D55" s="14" t="s">
        <v>1422</v>
      </c>
      <c r="E55" s="14" t="s">
        <v>1549</v>
      </c>
      <c r="F55" s="14" t="s">
        <v>1510</v>
      </c>
      <c r="G55" s="14" t="s">
        <v>1491</v>
      </c>
      <c r="H55" s="14" t="s">
        <v>624</v>
      </c>
      <c r="I55" s="14">
        <v>2003033</v>
      </c>
      <c r="J55" s="14">
        <v>0</v>
      </c>
      <c r="K55" s="14">
        <v>0</v>
      </c>
    </row>
    <row r="56" spans="1:11">
      <c r="A56" s="16" t="e">
        <f>VLOOKUP(E56,Table1[[#All],[Campo]],1,0)</f>
        <v>#N/A</v>
      </c>
      <c r="B56" s="14" t="s">
        <v>1550</v>
      </c>
      <c r="C56" s="14" t="s">
        <v>1551</v>
      </c>
      <c r="D56" s="14" t="s">
        <v>1422</v>
      </c>
      <c r="E56" s="14" t="s">
        <v>1552</v>
      </c>
      <c r="F56" s="14" t="s">
        <v>1510</v>
      </c>
      <c r="G56" s="14" t="s">
        <v>1491</v>
      </c>
      <c r="H56" s="14" t="s">
        <v>624</v>
      </c>
      <c r="I56" s="14">
        <v>2003033</v>
      </c>
      <c r="J56" s="14">
        <v>0</v>
      </c>
      <c r="K56" s="14">
        <v>0</v>
      </c>
    </row>
    <row r="57" spans="1:11">
      <c r="A57" s="16" t="e">
        <f>VLOOKUP(E57,Table1[[#All],[Campo]],1,0)</f>
        <v>#N/A</v>
      </c>
      <c r="B57" s="14" t="s">
        <v>1553</v>
      </c>
      <c r="C57" s="14" t="s">
        <v>1554</v>
      </c>
      <c r="D57" s="14" t="s">
        <v>1422</v>
      </c>
      <c r="E57" s="14" t="s">
        <v>1555</v>
      </c>
      <c r="F57" s="14" t="s">
        <v>1510</v>
      </c>
      <c r="G57" s="14" t="s">
        <v>1491</v>
      </c>
      <c r="H57" s="14" t="s">
        <v>624</v>
      </c>
      <c r="I57" s="14">
        <v>2003033</v>
      </c>
      <c r="J57" s="14">
        <v>0</v>
      </c>
      <c r="K57" s="14">
        <v>0</v>
      </c>
    </row>
    <row r="58" spans="1:11">
      <c r="A58" s="16" t="e">
        <f>VLOOKUP(E58,Table1[[#All],[Campo]],1,0)</f>
        <v>#N/A</v>
      </c>
      <c r="B58" s="14" t="s">
        <v>1556</v>
      </c>
      <c r="C58" s="14" t="s">
        <v>1557</v>
      </c>
      <c r="D58" s="14" t="s">
        <v>1422</v>
      </c>
      <c r="E58" s="14" t="s">
        <v>1444</v>
      </c>
      <c r="F58" s="14" t="s">
        <v>1477</v>
      </c>
      <c r="G58" s="14" t="s">
        <v>1491</v>
      </c>
      <c r="H58" s="14" t="s">
        <v>1425</v>
      </c>
      <c r="I58" s="14">
        <v>2003033</v>
      </c>
      <c r="J58" s="14">
        <v>2003033</v>
      </c>
      <c r="K58" s="14">
        <v>100</v>
      </c>
    </row>
    <row r="59" spans="1:11">
      <c r="A59" s="16" t="e">
        <f>VLOOKUP(E59,Table1[[#All],[Campo]],1,0)</f>
        <v>#N/A</v>
      </c>
      <c r="B59" s="14" t="s">
        <v>1558</v>
      </c>
      <c r="C59" s="14" t="s">
        <v>1559</v>
      </c>
      <c r="D59" s="14" t="s">
        <v>1422</v>
      </c>
      <c r="E59" s="14" t="s">
        <v>1560</v>
      </c>
      <c r="F59" s="14" t="s">
        <v>1477</v>
      </c>
      <c r="G59" s="14" t="s">
        <v>1491</v>
      </c>
      <c r="H59" s="14" t="s">
        <v>1425</v>
      </c>
      <c r="I59" s="14">
        <v>2003033</v>
      </c>
      <c r="J59" s="14">
        <v>2003033</v>
      </c>
      <c r="K59" s="14">
        <v>100</v>
      </c>
    </row>
    <row r="60" spans="1:11">
      <c r="A60" s="16" t="s">
        <v>1561</v>
      </c>
      <c r="B60" s="14" t="s">
        <v>1562</v>
      </c>
      <c r="C60" s="14" t="s">
        <v>1563</v>
      </c>
      <c r="D60" s="14" t="s">
        <v>1422</v>
      </c>
      <c r="E60" s="14" t="s">
        <v>1564</v>
      </c>
      <c r="F60" s="14" t="s">
        <v>1510</v>
      </c>
      <c r="G60" s="14" t="s">
        <v>1491</v>
      </c>
      <c r="H60" s="14" t="s">
        <v>624</v>
      </c>
      <c r="I60" s="14">
        <v>2003033</v>
      </c>
      <c r="J60" s="14">
        <v>0</v>
      </c>
      <c r="K60" s="14">
        <v>0</v>
      </c>
    </row>
    <row r="61" spans="1:11">
      <c r="A61" s="16" t="e">
        <f>VLOOKUP(E61,Table1[[#All],[Campo]],1,0)</f>
        <v>#N/A</v>
      </c>
      <c r="B61" s="14" t="s">
        <v>1565</v>
      </c>
      <c r="C61" s="14" t="s">
        <v>1566</v>
      </c>
      <c r="D61" s="14" t="s">
        <v>1422</v>
      </c>
      <c r="E61" s="14" t="s">
        <v>1567</v>
      </c>
      <c r="F61" s="14" t="s">
        <v>1510</v>
      </c>
      <c r="G61" s="14" t="s">
        <v>1491</v>
      </c>
      <c r="H61" s="14" t="s">
        <v>624</v>
      </c>
      <c r="I61" s="14">
        <v>2003033</v>
      </c>
      <c r="J61" s="14">
        <v>0</v>
      </c>
      <c r="K61" s="14">
        <v>0</v>
      </c>
    </row>
    <row r="62" spans="1:11">
      <c r="A62" s="16" t="e">
        <f>VLOOKUP(E62,Table1[[#All],[Campo]],1,0)</f>
        <v>#N/A</v>
      </c>
      <c r="B62" s="14" t="s">
        <v>1568</v>
      </c>
      <c r="C62" s="14" t="s">
        <v>1569</v>
      </c>
      <c r="D62" s="14" t="s">
        <v>1422</v>
      </c>
      <c r="E62" s="14" t="s">
        <v>1447</v>
      </c>
      <c r="F62" s="14" t="s">
        <v>1477</v>
      </c>
      <c r="G62" s="14" t="s">
        <v>1491</v>
      </c>
      <c r="H62" s="14" t="s">
        <v>1425</v>
      </c>
      <c r="I62" s="14">
        <v>2003033</v>
      </c>
      <c r="J62" s="14">
        <v>2003033</v>
      </c>
      <c r="K62" s="14">
        <v>100</v>
      </c>
    </row>
    <row r="63" spans="1:11">
      <c r="A63" s="16" t="e">
        <f>VLOOKUP(E63,Table1[[#All],[Campo]],1,0)</f>
        <v>#N/A</v>
      </c>
      <c r="B63" s="14" t="s">
        <v>1570</v>
      </c>
      <c r="C63" s="14" t="s">
        <v>1571</v>
      </c>
      <c r="D63" s="14" t="s">
        <v>1422</v>
      </c>
      <c r="E63" s="14" t="s">
        <v>1572</v>
      </c>
      <c r="F63" s="14" t="s">
        <v>1477</v>
      </c>
      <c r="G63" s="14" t="s">
        <v>1491</v>
      </c>
      <c r="H63" s="14" t="s">
        <v>1425</v>
      </c>
      <c r="I63" s="14">
        <v>2003033</v>
      </c>
      <c r="J63" s="14">
        <v>2003033</v>
      </c>
      <c r="K63" s="14">
        <v>100</v>
      </c>
    </row>
    <row r="64" spans="1:11">
      <c r="A64" s="16" t="e">
        <f>VLOOKUP(E64,Table1[[#All],[Campo]],1,0)</f>
        <v>#N/A</v>
      </c>
      <c r="B64" s="14" t="s">
        <v>1573</v>
      </c>
      <c r="C64" s="14" t="s">
        <v>1574</v>
      </c>
      <c r="D64" s="14" t="s">
        <v>1422</v>
      </c>
      <c r="E64" s="14" t="s">
        <v>1575</v>
      </c>
      <c r="F64" s="14" t="s">
        <v>1477</v>
      </c>
      <c r="G64" s="14" t="s">
        <v>1491</v>
      </c>
      <c r="H64" s="14" t="s">
        <v>1425</v>
      </c>
      <c r="I64" s="14">
        <v>2003033</v>
      </c>
      <c r="J64" s="14">
        <v>2003033</v>
      </c>
      <c r="K64" s="14">
        <v>100</v>
      </c>
    </row>
    <row r="65" spans="1:11">
      <c r="A65" s="16" t="e">
        <f>VLOOKUP(E65,Table1[[#All],[Campo]],1,0)</f>
        <v>#N/A</v>
      </c>
      <c r="B65" s="14" t="s">
        <v>1576</v>
      </c>
      <c r="C65" s="14" t="s">
        <v>1577</v>
      </c>
      <c r="D65" s="14" t="s">
        <v>1422</v>
      </c>
      <c r="E65" s="14" t="s">
        <v>1578</v>
      </c>
      <c r="F65" s="14" t="s">
        <v>1477</v>
      </c>
      <c r="G65" s="14" t="s">
        <v>1491</v>
      </c>
      <c r="H65" s="14" t="s">
        <v>1425</v>
      </c>
      <c r="I65" s="14">
        <v>2003033</v>
      </c>
      <c r="J65" s="14">
        <v>2003033</v>
      </c>
      <c r="K65" s="14">
        <v>100</v>
      </c>
    </row>
    <row r="66" spans="1:11">
      <c r="A66" s="16" t="e">
        <f>VLOOKUP(E66,Table1[[#All],[Campo]],1,0)</f>
        <v>#N/A</v>
      </c>
      <c r="B66" s="14" t="s">
        <v>1579</v>
      </c>
      <c r="C66" s="14" t="s">
        <v>1580</v>
      </c>
      <c r="D66" s="14" t="s">
        <v>1422</v>
      </c>
      <c r="E66" s="14" t="s">
        <v>1581</v>
      </c>
      <c r="F66" s="14" t="s">
        <v>1510</v>
      </c>
      <c r="G66" s="14" t="s">
        <v>1491</v>
      </c>
      <c r="H66" s="14" t="s">
        <v>624</v>
      </c>
      <c r="I66" s="14">
        <v>2003033</v>
      </c>
      <c r="J66" s="14">
        <v>0</v>
      </c>
      <c r="K66" s="14">
        <v>0</v>
      </c>
    </row>
    <row r="67" spans="1:11">
      <c r="A67" s="16" t="e">
        <f>VLOOKUP(E67,Table1[[#All],[Campo]],1,0)</f>
        <v>#N/A</v>
      </c>
      <c r="B67" s="14" t="s">
        <v>1582</v>
      </c>
      <c r="C67" s="14" t="s">
        <v>1583</v>
      </c>
      <c r="D67" s="14" t="s">
        <v>1422</v>
      </c>
      <c r="E67" s="14" t="s">
        <v>1584</v>
      </c>
      <c r="F67" s="14" t="s">
        <v>1510</v>
      </c>
      <c r="G67" s="14" t="s">
        <v>1491</v>
      </c>
      <c r="H67" s="14" t="s">
        <v>624</v>
      </c>
      <c r="I67" s="14">
        <v>2003033</v>
      </c>
      <c r="J67" s="14">
        <v>0</v>
      </c>
      <c r="K67" s="14">
        <v>0</v>
      </c>
    </row>
    <row r="68" spans="1:11">
      <c r="A68" s="16" t="s">
        <v>1585</v>
      </c>
      <c r="B68" s="14" t="s">
        <v>1586</v>
      </c>
      <c r="C68" s="14" t="s">
        <v>1587</v>
      </c>
      <c r="D68" s="14" t="s">
        <v>1422</v>
      </c>
      <c r="E68" s="14" t="s">
        <v>1588</v>
      </c>
      <c r="F68" s="14" t="s">
        <v>1510</v>
      </c>
      <c r="G68" s="14" t="s">
        <v>1491</v>
      </c>
      <c r="H68" s="14" t="s">
        <v>624</v>
      </c>
      <c r="I68" s="14">
        <v>2003033</v>
      </c>
      <c r="J68" s="14">
        <v>0</v>
      </c>
      <c r="K68" s="14">
        <v>0</v>
      </c>
    </row>
    <row r="69" spans="1:11">
      <c r="A69" s="16" t="s">
        <v>1589</v>
      </c>
      <c r="B69" s="14" t="s">
        <v>1590</v>
      </c>
      <c r="C69" s="14" t="s">
        <v>1591</v>
      </c>
      <c r="D69" s="14" t="s">
        <v>1422</v>
      </c>
      <c r="E69" s="14" t="s">
        <v>1592</v>
      </c>
      <c r="F69" s="14" t="s">
        <v>1510</v>
      </c>
      <c r="G69" s="14" t="s">
        <v>1491</v>
      </c>
      <c r="H69" s="14" t="s">
        <v>624</v>
      </c>
      <c r="I69" s="14">
        <v>2003033</v>
      </c>
      <c r="J69" s="14">
        <v>0</v>
      </c>
      <c r="K69" s="14">
        <v>0</v>
      </c>
    </row>
    <row r="70" spans="1:11">
      <c r="A70" s="16" t="e">
        <f>VLOOKUP(E70,Table1[[#All],[Campo]],1,0)</f>
        <v>#N/A</v>
      </c>
      <c r="B70" s="14" t="s">
        <v>1593</v>
      </c>
      <c r="C70" s="14" t="s">
        <v>1594</v>
      </c>
      <c r="D70" s="14" t="s">
        <v>1422</v>
      </c>
      <c r="E70" s="14" t="s">
        <v>1595</v>
      </c>
      <c r="F70" s="14" t="s">
        <v>1510</v>
      </c>
      <c r="G70" s="14" t="s">
        <v>1491</v>
      </c>
      <c r="H70" s="14" t="s">
        <v>624</v>
      </c>
      <c r="I70" s="14">
        <v>2003033</v>
      </c>
      <c r="J70" s="14">
        <v>0</v>
      </c>
      <c r="K70" s="14">
        <v>0</v>
      </c>
    </row>
    <row r="71" spans="1:11">
      <c r="A71" s="16" t="e">
        <f>VLOOKUP(E71,Table1[[#All],[Campo]],1,0)</f>
        <v>#N/A</v>
      </c>
      <c r="B71" s="14" t="s">
        <v>1596</v>
      </c>
      <c r="C71" s="14" t="s">
        <v>1597</v>
      </c>
      <c r="D71" s="14" t="s">
        <v>1422</v>
      </c>
      <c r="E71" s="14" t="s">
        <v>1598</v>
      </c>
      <c r="F71" s="14" t="s">
        <v>1510</v>
      </c>
      <c r="G71" s="14" t="s">
        <v>1491</v>
      </c>
      <c r="H71" s="14" t="s">
        <v>624</v>
      </c>
      <c r="I71" s="14">
        <v>2003033</v>
      </c>
      <c r="J71" s="14">
        <v>0</v>
      </c>
      <c r="K71" s="14">
        <v>0</v>
      </c>
    </row>
    <row r="72" spans="1:11">
      <c r="A72" s="16" t="e">
        <f>VLOOKUP(E72,Table1[[#All],[Campo]],1,0)</f>
        <v>#N/A</v>
      </c>
      <c r="B72" s="14" t="s">
        <v>1599</v>
      </c>
      <c r="C72" s="14" t="s">
        <v>1600</v>
      </c>
      <c r="D72" s="14" t="s">
        <v>1422</v>
      </c>
      <c r="E72" s="14" t="s">
        <v>1601</v>
      </c>
      <c r="F72" s="14" t="s">
        <v>1510</v>
      </c>
      <c r="G72" s="14" t="s">
        <v>1491</v>
      </c>
      <c r="H72" s="14" t="s">
        <v>624</v>
      </c>
      <c r="I72" s="14">
        <v>2003033</v>
      </c>
      <c r="J72" s="14">
        <v>0</v>
      </c>
      <c r="K72" s="14">
        <v>0</v>
      </c>
    </row>
    <row r="73" spans="1:11">
      <c r="A73" s="16" t="e">
        <f>VLOOKUP(E73,Table1[[#All],[Campo]],1,0)</f>
        <v>#N/A</v>
      </c>
      <c r="B73" s="14" t="s">
        <v>1602</v>
      </c>
      <c r="C73" s="14" t="s">
        <v>1603</v>
      </c>
      <c r="D73" s="14" t="s">
        <v>1422</v>
      </c>
      <c r="E73" s="14" t="s">
        <v>1604</v>
      </c>
      <c r="F73" s="14" t="s">
        <v>1510</v>
      </c>
      <c r="G73" s="14" t="s">
        <v>1491</v>
      </c>
      <c r="H73" s="14" t="s">
        <v>624</v>
      </c>
      <c r="I73" s="14">
        <v>2003033</v>
      </c>
      <c r="J73" s="14">
        <v>0</v>
      </c>
      <c r="K73" s="14">
        <v>0</v>
      </c>
    </row>
    <row r="74" spans="1:11">
      <c r="A74" s="16" t="e">
        <f>VLOOKUP(E74,Table1[[#All],[Campo]],1,0)</f>
        <v>#N/A</v>
      </c>
      <c r="B74" s="14" t="s">
        <v>1605</v>
      </c>
      <c r="C74" s="14" t="s">
        <v>1606</v>
      </c>
      <c r="D74" s="14" t="s">
        <v>1422</v>
      </c>
      <c r="E74" s="14" t="s">
        <v>1607</v>
      </c>
      <c r="F74" s="14" t="s">
        <v>1510</v>
      </c>
      <c r="G74" s="14" t="s">
        <v>1491</v>
      </c>
      <c r="H74" s="14" t="s">
        <v>624</v>
      </c>
      <c r="I74" s="14">
        <v>2003033</v>
      </c>
      <c r="J74" s="14">
        <v>0</v>
      </c>
      <c r="K74" s="14">
        <v>0</v>
      </c>
    </row>
    <row r="75" spans="1:11">
      <c r="A75" s="16" t="s">
        <v>1608</v>
      </c>
      <c r="B75" s="14" t="s">
        <v>1609</v>
      </c>
      <c r="C75" s="14" t="s">
        <v>1610</v>
      </c>
      <c r="D75" s="14" t="s">
        <v>1422</v>
      </c>
      <c r="E75" s="14" t="s">
        <v>1611</v>
      </c>
      <c r="F75" s="14" t="s">
        <v>1510</v>
      </c>
      <c r="G75" s="14" t="s">
        <v>1491</v>
      </c>
      <c r="H75" s="14" t="s">
        <v>624</v>
      </c>
      <c r="I75" s="14">
        <v>2003033</v>
      </c>
      <c r="J75" s="14">
        <v>0</v>
      </c>
      <c r="K75" s="14">
        <v>0</v>
      </c>
    </row>
    <row r="76" spans="1:11">
      <c r="A76" s="16" t="s">
        <v>1612</v>
      </c>
      <c r="B76" s="14" t="s">
        <v>1613</v>
      </c>
      <c r="C76" s="14" t="s">
        <v>1614</v>
      </c>
      <c r="D76" s="14" t="s">
        <v>1422</v>
      </c>
      <c r="E76" s="14" t="s">
        <v>1615</v>
      </c>
      <c r="F76" s="14" t="s">
        <v>1510</v>
      </c>
      <c r="G76" s="14" t="s">
        <v>1491</v>
      </c>
      <c r="H76" s="14" t="s">
        <v>624</v>
      </c>
      <c r="I76" s="14">
        <v>2003033</v>
      </c>
      <c r="J76" s="14">
        <v>0</v>
      </c>
      <c r="K76" s="14">
        <v>0</v>
      </c>
    </row>
    <row r="77" spans="1:11">
      <c r="A77" s="16" t="e">
        <f>VLOOKUP(E77,Table1[[#All],[Campo]],1,0)</f>
        <v>#N/A</v>
      </c>
      <c r="B77" s="14" t="s">
        <v>1616</v>
      </c>
      <c r="C77" s="14" t="s">
        <v>1617</v>
      </c>
      <c r="D77" s="14" t="s">
        <v>1422</v>
      </c>
      <c r="E77" s="14" t="s">
        <v>1618</v>
      </c>
      <c r="F77" s="14" t="s">
        <v>1510</v>
      </c>
      <c r="G77" s="14" t="s">
        <v>1491</v>
      </c>
      <c r="H77" s="14" t="s">
        <v>624</v>
      </c>
      <c r="I77" s="14">
        <v>2003033</v>
      </c>
      <c r="J77" s="14">
        <v>0</v>
      </c>
      <c r="K77" s="14">
        <v>0</v>
      </c>
    </row>
    <row r="78" spans="1:11">
      <c r="A78" s="16" t="e">
        <f>VLOOKUP(E78,Table1[[#All],[Campo]],1,0)</f>
        <v>#N/A</v>
      </c>
      <c r="B78" s="14" t="s">
        <v>1619</v>
      </c>
      <c r="C78" s="14" t="s">
        <v>1620</v>
      </c>
      <c r="D78" s="14" t="s">
        <v>1422</v>
      </c>
      <c r="E78" s="14" t="s">
        <v>1450</v>
      </c>
      <c r="F78" s="14" t="s">
        <v>1477</v>
      </c>
      <c r="G78" s="14" t="s">
        <v>1491</v>
      </c>
      <c r="H78" s="14" t="s">
        <v>1425</v>
      </c>
      <c r="I78" s="14">
        <v>2003033</v>
      </c>
      <c r="J78" s="14">
        <v>2003033</v>
      </c>
      <c r="K78" s="14">
        <v>100</v>
      </c>
    </row>
    <row r="79" spans="1:11">
      <c r="A79" s="16" t="s">
        <v>1621</v>
      </c>
      <c r="B79" s="14" t="s">
        <v>1622</v>
      </c>
      <c r="C79" s="14" t="s">
        <v>1623</v>
      </c>
      <c r="D79" s="14" t="s">
        <v>1422</v>
      </c>
      <c r="E79" s="14" t="s">
        <v>1624</v>
      </c>
      <c r="F79" s="14" t="s">
        <v>1510</v>
      </c>
      <c r="G79" s="14" t="s">
        <v>1491</v>
      </c>
      <c r="H79" s="14" t="s">
        <v>624</v>
      </c>
      <c r="I79" s="14">
        <v>2003033</v>
      </c>
      <c r="J79" s="14">
        <v>0</v>
      </c>
      <c r="K79" s="14">
        <v>0</v>
      </c>
    </row>
    <row r="80" spans="1:11">
      <c r="A80" s="16" t="s">
        <v>1625</v>
      </c>
      <c r="B80" s="14" t="s">
        <v>1626</v>
      </c>
      <c r="C80" s="14" t="s">
        <v>1627</v>
      </c>
      <c r="D80" s="14" t="s">
        <v>1422</v>
      </c>
      <c r="E80" s="14" t="s">
        <v>1628</v>
      </c>
      <c r="F80" s="14" t="s">
        <v>1510</v>
      </c>
      <c r="G80" s="14" t="s">
        <v>1491</v>
      </c>
      <c r="H80" s="14" t="s">
        <v>624</v>
      </c>
      <c r="I80" s="14">
        <v>2003033</v>
      </c>
      <c r="J80" s="14">
        <v>0</v>
      </c>
      <c r="K80" s="14">
        <v>0</v>
      </c>
    </row>
    <row r="81" spans="1:11">
      <c r="A81" s="16" t="s">
        <v>1451</v>
      </c>
      <c r="B81" s="14" t="s">
        <v>1629</v>
      </c>
      <c r="C81" s="14" t="s">
        <v>1630</v>
      </c>
      <c r="D81" s="14" t="s">
        <v>1422</v>
      </c>
      <c r="E81" s="14" t="s">
        <v>1454</v>
      </c>
      <c r="F81" s="14" t="s">
        <v>1477</v>
      </c>
      <c r="G81" s="14" t="s">
        <v>1491</v>
      </c>
      <c r="H81" s="14" t="s">
        <v>1425</v>
      </c>
      <c r="I81" s="14">
        <v>2003033</v>
      </c>
      <c r="J81" s="14">
        <v>2003033</v>
      </c>
      <c r="K81" s="14">
        <v>100</v>
      </c>
    </row>
    <row r="82" spans="1:11">
      <c r="A82" s="16" t="str">
        <f>VLOOKUP(E82,Table1[[#All],[Campo]],1,0)</f>
        <v>idcmb</v>
      </c>
      <c r="B82" s="14" t="s">
        <v>1631</v>
      </c>
      <c r="C82" s="14" t="s">
        <v>1632</v>
      </c>
      <c r="D82" s="14" t="s">
        <v>1422</v>
      </c>
      <c r="E82" s="14" t="s">
        <v>1457</v>
      </c>
      <c r="F82" s="14" t="s">
        <v>1477</v>
      </c>
      <c r="G82" s="14" t="s">
        <v>1491</v>
      </c>
      <c r="H82" s="14" t="s">
        <v>1425</v>
      </c>
      <c r="I82" s="14">
        <v>2003033</v>
      </c>
      <c r="J82" s="14">
        <v>2003033</v>
      </c>
      <c r="K82" s="14">
        <v>100</v>
      </c>
    </row>
    <row r="83" spans="1:11">
      <c r="A83" s="16" t="str">
        <f>VLOOKUP(E83,Table1[[#All],[Campo]],1,0)</f>
        <v>cod_soc</v>
      </c>
      <c r="B83" s="14" t="s">
        <v>1633</v>
      </c>
      <c r="C83" s="14" t="s">
        <v>1475</v>
      </c>
      <c r="D83" s="14" t="s">
        <v>1473</v>
      </c>
      <c r="E83" s="14" t="s">
        <v>1400</v>
      </c>
      <c r="F83" s="14" t="s">
        <v>1477</v>
      </c>
      <c r="G83" s="14" t="s">
        <v>1634</v>
      </c>
      <c r="H83" s="14" t="s">
        <v>624</v>
      </c>
      <c r="I83" s="14">
        <v>731165</v>
      </c>
      <c r="J83" s="14">
        <v>0</v>
      </c>
      <c r="K83" s="14">
        <v>0</v>
      </c>
    </row>
    <row r="84" spans="1:11">
      <c r="A84" s="16" t="str">
        <f>VLOOKUP(E84,Table1[[#All],[Campo]],1,0)</f>
        <v>dt_rfrnc</v>
      </c>
      <c r="B84" s="14" t="s">
        <v>1635</v>
      </c>
      <c r="C84" s="14" t="s">
        <v>1486</v>
      </c>
      <c r="D84" s="14" t="s">
        <v>1473</v>
      </c>
      <c r="E84" s="14" t="s">
        <v>1405</v>
      </c>
      <c r="F84" s="14" t="s">
        <v>1481</v>
      </c>
      <c r="G84" s="14" t="s">
        <v>1634</v>
      </c>
      <c r="H84" s="14" t="s">
        <v>624</v>
      </c>
      <c r="I84" s="14">
        <v>731165</v>
      </c>
      <c r="J84" s="14">
        <v>0</v>
      </c>
      <c r="K84" s="14">
        <v>0</v>
      </c>
    </row>
    <row r="85" spans="1:11">
      <c r="A85" s="16" t="str">
        <f>VLOOKUP(E85,Table1[[#All],[Campo]],1,0)</f>
        <v>instrmnt_id</v>
      </c>
      <c r="B85" s="14" t="s">
        <v>1636</v>
      </c>
      <c r="C85" s="14" t="s">
        <v>1488</v>
      </c>
      <c r="D85" s="14" t="s">
        <v>1473</v>
      </c>
      <c r="E85" s="14" t="s">
        <v>1414</v>
      </c>
      <c r="F85" s="14" t="s">
        <v>1489</v>
      </c>
      <c r="G85" s="14" t="s">
        <v>1634</v>
      </c>
      <c r="H85" s="14" t="s">
        <v>624</v>
      </c>
      <c r="I85" s="14">
        <v>731165</v>
      </c>
      <c r="J85" s="14">
        <v>0</v>
      </c>
      <c r="K85" s="14">
        <v>0</v>
      </c>
    </row>
    <row r="86" spans="1:11">
      <c r="A86" s="16" t="str">
        <f>VLOOKUP(E86,Table1[[#All],[Campo]],1,0)</f>
        <v>cod_soc</v>
      </c>
      <c r="B86" s="14" t="s">
        <v>1637</v>
      </c>
      <c r="C86" s="14" t="s">
        <v>1475</v>
      </c>
      <c r="D86" s="14" t="s">
        <v>1638</v>
      </c>
      <c r="E86" s="14" t="s">
        <v>1400</v>
      </c>
      <c r="F86" s="14" t="s">
        <v>1477</v>
      </c>
      <c r="G86" s="14" t="s">
        <v>1639</v>
      </c>
      <c r="H86" s="14" t="s">
        <v>624</v>
      </c>
      <c r="I86" s="14">
        <v>456960</v>
      </c>
      <c r="J86" s="14">
        <v>0</v>
      </c>
      <c r="K86" s="14">
        <v>0</v>
      </c>
    </row>
    <row r="87" spans="1:11">
      <c r="A87" s="16" t="str">
        <f>VLOOKUP(E87,Table1[[#All],[Campo]],1,0)</f>
        <v>dt_rfrnc</v>
      </c>
      <c r="B87" s="14" t="s">
        <v>1640</v>
      </c>
      <c r="C87" s="14" t="s">
        <v>1486</v>
      </c>
      <c r="D87" s="14" t="s">
        <v>1638</v>
      </c>
      <c r="E87" s="14" t="s">
        <v>1405</v>
      </c>
      <c r="F87" s="14" t="s">
        <v>1481</v>
      </c>
      <c r="G87" s="14" t="s">
        <v>1639</v>
      </c>
      <c r="H87" s="14" t="s">
        <v>624</v>
      </c>
      <c r="I87" s="14">
        <v>456960</v>
      </c>
      <c r="J87" s="14">
        <v>0</v>
      </c>
      <c r="K87" s="14">
        <v>0</v>
      </c>
    </row>
    <row r="88" spans="1:11">
      <c r="A88" s="16" t="str">
        <f>VLOOKUP(E88,Table1[[#All],[Campo]],1,0)</f>
        <v>instrmnt_id</v>
      </c>
      <c r="B88" s="14" t="s">
        <v>1641</v>
      </c>
      <c r="C88" s="14" t="s">
        <v>1642</v>
      </c>
      <c r="D88" s="14" t="s">
        <v>1483</v>
      </c>
      <c r="E88" s="14" t="s">
        <v>1414</v>
      </c>
      <c r="F88" s="14" t="s">
        <v>1643</v>
      </c>
      <c r="G88" s="14" t="s">
        <v>1644</v>
      </c>
      <c r="H88" s="14" t="s">
        <v>624</v>
      </c>
      <c r="I88" s="14">
        <v>2490665</v>
      </c>
      <c r="J88" s="14">
        <v>0</v>
      </c>
      <c r="K88" s="14">
        <v>0</v>
      </c>
    </row>
    <row r="89" spans="1:11">
      <c r="A89" s="16" t="str">
        <f>VLOOKUP(E89,Table1[[#All],[Campo]],1,0)</f>
        <v>typ_instrmnt</v>
      </c>
      <c r="B89" s="14" t="s">
        <v>1645</v>
      </c>
      <c r="C89" s="14" t="s">
        <v>1646</v>
      </c>
      <c r="D89" s="14" t="s">
        <v>1422</v>
      </c>
      <c r="E89" s="14" t="s">
        <v>1506</v>
      </c>
      <c r="F89" s="14" t="s">
        <v>1643</v>
      </c>
      <c r="G89" s="14" t="s">
        <v>1644</v>
      </c>
      <c r="H89" s="14" t="s">
        <v>624</v>
      </c>
      <c r="I89" s="14">
        <v>2001306</v>
      </c>
      <c r="J89" s="14">
        <v>0</v>
      </c>
      <c r="K89" s="14">
        <v>0</v>
      </c>
    </row>
    <row r="90" spans="1:11">
      <c r="A90" s="16" t="str">
        <f>VLOOKUP(E90,Table1[[#All],[Campo]],1,0)</f>
        <v>instrmnt_id</v>
      </c>
      <c r="B90" s="14" t="s">
        <v>1647</v>
      </c>
      <c r="C90" s="14" t="s">
        <v>1648</v>
      </c>
      <c r="D90" s="14" t="s">
        <v>1473</v>
      </c>
      <c r="E90" s="14" t="s">
        <v>1414</v>
      </c>
      <c r="F90" s="14" t="s">
        <v>1643</v>
      </c>
      <c r="G90" s="14" t="s">
        <v>1644</v>
      </c>
      <c r="H90" s="14" t="s">
        <v>624</v>
      </c>
      <c r="I90" s="14">
        <v>731165</v>
      </c>
      <c r="J90" s="14">
        <v>0</v>
      </c>
      <c r="K90" s="14">
        <v>0</v>
      </c>
    </row>
    <row r="91" spans="1:11">
      <c r="A91" s="16" t="str">
        <f>VLOOKUP(E91,Table1[[#All],[Campo]],1,0)</f>
        <v>dt_rfrnc</v>
      </c>
      <c r="B91" s="14" t="s">
        <v>1649</v>
      </c>
      <c r="C91" s="14" t="s">
        <v>1650</v>
      </c>
      <c r="D91" s="14" t="s">
        <v>1399</v>
      </c>
      <c r="E91" s="14" t="s">
        <v>1405</v>
      </c>
      <c r="F91" s="14" t="s">
        <v>1651</v>
      </c>
      <c r="G91" s="14" t="s">
        <v>1652</v>
      </c>
      <c r="H91" s="14" t="s">
        <v>624</v>
      </c>
      <c r="I91" s="14">
        <v>1096295</v>
      </c>
      <c r="J91" s="14">
        <v>0</v>
      </c>
      <c r="K91" s="14">
        <v>0</v>
      </c>
    </row>
    <row r="92" spans="1:11">
      <c r="A92" s="16" t="str">
        <f>VLOOKUP(E92,Table1[[#All],[Campo]],1,0)</f>
        <v>dt_rfrnc</v>
      </c>
      <c r="B92" s="14" t="s">
        <v>1653</v>
      </c>
      <c r="C92" s="14" t="s">
        <v>1654</v>
      </c>
      <c r="D92" s="14" t="s">
        <v>1408</v>
      </c>
      <c r="E92" s="14" t="s">
        <v>1405</v>
      </c>
      <c r="F92" s="14" t="s">
        <v>1651</v>
      </c>
      <c r="G92" s="14" t="s">
        <v>1655</v>
      </c>
      <c r="H92" s="14" t="s">
        <v>624</v>
      </c>
      <c r="I92" s="14">
        <v>2490665</v>
      </c>
      <c r="J92" s="14">
        <v>0</v>
      </c>
      <c r="K92" s="14">
        <v>0</v>
      </c>
    </row>
    <row r="93" spans="1:11">
      <c r="A93" s="16" t="str">
        <f>VLOOKUP(E93,Table1[[#All],[Campo]],1,0)</f>
        <v>dt_rfrnc</v>
      </c>
      <c r="B93" s="14" t="s">
        <v>1656</v>
      </c>
      <c r="C93" s="14" t="s">
        <v>1654</v>
      </c>
      <c r="D93" s="14" t="s">
        <v>1416</v>
      </c>
      <c r="E93" s="14" t="s">
        <v>1405</v>
      </c>
      <c r="F93" s="14" t="s">
        <v>1651</v>
      </c>
      <c r="G93" s="14" t="s">
        <v>1657</v>
      </c>
      <c r="H93" s="14" t="s">
        <v>624</v>
      </c>
      <c r="I93" s="14">
        <v>2002411</v>
      </c>
      <c r="J93" s="14">
        <v>0</v>
      </c>
      <c r="K93" s="14">
        <v>0</v>
      </c>
    </row>
    <row r="94" spans="1:11">
      <c r="A94" s="16" t="str">
        <f>VLOOKUP(E94,Table1[[#All],[Campo]],1,0)</f>
        <v>imprmnt_stts</v>
      </c>
      <c r="B94" s="14" t="s">
        <v>1658</v>
      </c>
      <c r="C94" s="14" t="s">
        <v>1659</v>
      </c>
      <c r="D94" s="14" t="s">
        <v>1416</v>
      </c>
      <c r="E94" s="14" t="s">
        <v>1501</v>
      </c>
      <c r="F94" s="14" t="s">
        <v>1477</v>
      </c>
      <c r="G94" s="14" t="s">
        <v>1657</v>
      </c>
      <c r="H94" s="14" t="s">
        <v>624</v>
      </c>
      <c r="I94" s="14">
        <v>2002411</v>
      </c>
      <c r="J94" s="14">
        <v>0</v>
      </c>
      <c r="K94" s="14">
        <v>0</v>
      </c>
    </row>
    <row r="95" spans="1:11">
      <c r="A95" s="16" t="e">
        <f>VLOOKUP(E95,Table1[[#All],[Campo]],1,0)</f>
        <v>#N/A</v>
      </c>
      <c r="B95" s="14" t="s">
        <v>1660</v>
      </c>
      <c r="C95" s="14" t="s">
        <v>1661</v>
      </c>
      <c r="D95" s="14" t="s">
        <v>1416</v>
      </c>
      <c r="E95" s="14" t="s">
        <v>1595</v>
      </c>
      <c r="F95" s="14" t="s">
        <v>1477</v>
      </c>
      <c r="G95" s="14" t="s">
        <v>1657</v>
      </c>
      <c r="H95" s="14" t="s">
        <v>624</v>
      </c>
      <c r="I95" s="14">
        <v>2002411</v>
      </c>
      <c r="J95" s="14">
        <v>0</v>
      </c>
      <c r="K95" s="14">
        <v>0</v>
      </c>
    </row>
    <row r="96" spans="1:11">
      <c r="A96" s="16" t="str">
        <f>VLOOKUP(E96,Table1[[#All],[Campo]],1,0)</f>
        <v>dt_rfrnc</v>
      </c>
      <c r="B96" s="14" t="s">
        <v>1662</v>
      </c>
      <c r="C96" s="14" t="s">
        <v>1654</v>
      </c>
      <c r="D96" s="14" t="s">
        <v>1459</v>
      </c>
      <c r="E96" s="14" t="s">
        <v>1405</v>
      </c>
      <c r="F96" s="14" t="s">
        <v>1651</v>
      </c>
      <c r="G96" s="14" t="s">
        <v>1663</v>
      </c>
      <c r="H96" s="14" t="s">
        <v>624</v>
      </c>
      <c r="I96" s="14">
        <v>731165</v>
      </c>
      <c r="J96" s="14">
        <v>0</v>
      </c>
      <c r="K96" s="14">
        <v>0</v>
      </c>
    </row>
    <row r="97" spans="1:11">
      <c r="A97" s="16" t="str">
        <f>VLOOKUP(E97,Table1[[#All],[Campo]],1,0)</f>
        <v>dt_rfrnc</v>
      </c>
      <c r="B97" s="14" t="s">
        <v>1664</v>
      </c>
      <c r="C97" s="14" t="s">
        <v>1654</v>
      </c>
      <c r="D97" s="14" t="s">
        <v>1464</v>
      </c>
      <c r="E97" s="14" t="s">
        <v>1405</v>
      </c>
      <c r="F97" s="14" t="s">
        <v>1651</v>
      </c>
      <c r="G97" s="14" t="s">
        <v>1665</v>
      </c>
      <c r="H97" s="14" t="s">
        <v>624</v>
      </c>
      <c r="I97" s="14">
        <v>456960</v>
      </c>
      <c r="J97" s="14">
        <v>0</v>
      </c>
      <c r="K97" s="14">
        <v>0</v>
      </c>
    </row>
    <row r="98" spans="1:11">
      <c r="A98" s="16" t="str">
        <f>VLOOKUP(E98,Table1[[#All],[Campo]],1,0)</f>
        <v>dt_rfrnc</v>
      </c>
      <c r="B98" s="14" t="s">
        <v>1666</v>
      </c>
      <c r="C98" s="14" t="s">
        <v>1667</v>
      </c>
      <c r="D98" s="14" t="s">
        <v>1476</v>
      </c>
      <c r="E98" s="14" t="s">
        <v>1405</v>
      </c>
      <c r="F98" s="14" t="s">
        <v>1651</v>
      </c>
      <c r="G98" s="14" t="s">
        <v>1668</v>
      </c>
      <c r="H98" s="14" t="s">
        <v>624</v>
      </c>
      <c r="I98" s="14">
        <v>1096295</v>
      </c>
      <c r="J98" s="14">
        <v>0</v>
      </c>
      <c r="K98" s="14">
        <v>0</v>
      </c>
    </row>
    <row r="99" spans="1:11">
      <c r="A99" s="16" t="str">
        <f>VLOOKUP(E99,Table1[[#All],[Campo]],1,0)</f>
        <v>dt_rfrnc</v>
      </c>
      <c r="B99" s="14" t="s">
        <v>1669</v>
      </c>
      <c r="C99" s="14" t="s">
        <v>1667</v>
      </c>
      <c r="D99" s="14" t="s">
        <v>1483</v>
      </c>
      <c r="E99" s="14" t="s">
        <v>1405</v>
      </c>
      <c r="F99" s="14" t="s">
        <v>1651</v>
      </c>
      <c r="G99" s="14" t="s">
        <v>1670</v>
      </c>
      <c r="H99" s="14" t="s">
        <v>624</v>
      </c>
      <c r="I99" s="14">
        <v>2490665</v>
      </c>
      <c r="J99" s="14">
        <v>0</v>
      </c>
      <c r="K99" s="14">
        <v>0</v>
      </c>
    </row>
    <row r="100" spans="1:11">
      <c r="A100" s="16" t="str">
        <f>VLOOKUP(E100,Table1[[#All],[Campo]],1,0)</f>
        <v>dt_rfrnc</v>
      </c>
      <c r="B100" s="14" t="s">
        <v>1671</v>
      </c>
      <c r="C100" s="14" t="s">
        <v>1667</v>
      </c>
      <c r="D100" s="14" t="s">
        <v>1422</v>
      </c>
      <c r="E100" s="14" t="s">
        <v>1405</v>
      </c>
      <c r="F100" s="14" t="s">
        <v>1651</v>
      </c>
      <c r="G100" s="14" t="s">
        <v>1672</v>
      </c>
      <c r="H100" s="14" t="s">
        <v>624</v>
      </c>
      <c r="I100" s="14">
        <v>2002411</v>
      </c>
      <c r="J100" s="14">
        <v>0</v>
      </c>
      <c r="K100" s="14">
        <v>0</v>
      </c>
    </row>
    <row r="101" spans="1:11">
      <c r="A101" s="16" t="str">
        <f>VLOOKUP(E101,Table1[[#All],[Campo]],1,0)</f>
        <v>grss_crryng_amnt_instrmnt</v>
      </c>
      <c r="B101" s="14" t="s">
        <v>1673</v>
      </c>
      <c r="C101" s="14" t="s">
        <v>1674</v>
      </c>
      <c r="D101" s="14" t="s">
        <v>1422</v>
      </c>
      <c r="E101" s="14" t="s">
        <v>1509</v>
      </c>
      <c r="F101" s="14" t="s">
        <v>1675</v>
      </c>
      <c r="G101" s="14" t="s">
        <v>1672</v>
      </c>
      <c r="H101" s="14" t="s">
        <v>1425</v>
      </c>
      <c r="I101" s="14">
        <v>2002411</v>
      </c>
      <c r="J101" s="14">
        <v>31379</v>
      </c>
      <c r="K101" s="14">
        <v>1.5670999999999999</v>
      </c>
    </row>
    <row r="102" spans="1:11">
      <c r="A102" s="16" t="str">
        <f>VLOOKUP(E102,Table1[[#All],[Campo]],1,0)</f>
        <v>accmltd_chngs_fv_cr_instrmnt</v>
      </c>
      <c r="B102" s="14" t="s">
        <v>1676</v>
      </c>
      <c r="C102" s="14" t="s">
        <v>1677</v>
      </c>
      <c r="D102" s="14" t="s">
        <v>1422</v>
      </c>
      <c r="E102" s="14" t="s">
        <v>1513</v>
      </c>
      <c r="F102" s="14" t="s">
        <v>1675</v>
      </c>
      <c r="G102" s="14" t="s">
        <v>1672</v>
      </c>
      <c r="H102" s="14" t="s">
        <v>624</v>
      </c>
      <c r="I102" s="14">
        <v>2002411</v>
      </c>
      <c r="J102" s="14">
        <v>0</v>
      </c>
      <c r="K102" s="14">
        <v>0</v>
      </c>
    </row>
    <row r="103" spans="1:11">
      <c r="A103" s="16" t="e">
        <f>VLOOKUP(E103,Table1[[#All],[Campo]],1,0)</f>
        <v>#N/A</v>
      </c>
      <c r="B103" s="14" t="s">
        <v>1678</v>
      </c>
      <c r="C103" s="14" t="s">
        <v>1679</v>
      </c>
      <c r="D103" s="14" t="s">
        <v>1422</v>
      </c>
      <c r="E103" s="14" t="s">
        <v>1519</v>
      </c>
      <c r="F103" s="14" t="s">
        <v>1675</v>
      </c>
      <c r="G103" s="14" t="s">
        <v>1672</v>
      </c>
      <c r="H103" s="14" t="s">
        <v>624</v>
      </c>
      <c r="I103" s="14">
        <v>2002411</v>
      </c>
      <c r="J103" s="14">
        <v>0</v>
      </c>
      <c r="K103" s="14">
        <v>0</v>
      </c>
    </row>
    <row r="104" spans="1:11">
      <c r="A104" s="16" t="e">
        <f>VLOOKUP(E104,Table1[[#All],[Campo]],1,0)</f>
        <v>#N/A</v>
      </c>
      <c r="B104" s="14" t="s">
        <v>1680</v>
      </c>
      <c r="C104" s="14" t="s">
        <v>1681</v>
      </c>
      <c r="D104" s="14" t="s">
        <v>1422</v>
      </c>
      <c r="E104" s="14" t="s">
        <v>1522</v>
      </c>
      <c r="F104" s="14" t="s">
        <v>1675</v>
      </c>
      <c r="G104" s="14" t="s">
        <v>1672</v>
      </c>
      <c r="H104" s="14" t="s">
        <v>624</v>
      </c>
      <c r="I104" s="14">
        <v>2002411</v>
      </c>
      <c r="J104" s="14">
        <v>0</v>
      </c>
      <c r="K104" s="14">
        <v>0</v>
      </c>
    </row>
    <row r="105" spans="1:11">
      <c r="A105" s="16" t="e">
        <f>VLOOKUP(E105,Table1[[#All],[Campo]],1,0)</f>
        <v>#N/A</v>
      </c>
      <c r="B105" s="14" t="s">
        <v>1682</v>
      </c>
      <c r="C105" s="14" t="s">
        <v>1683</v>
      </c>
      <c r="D105" s="14" t="s">
        <v>1422</v>
      </c>
      <c r="E105" s="14" t="s">
        <v>1525</v>
      </c>
      <c r="F105" s="14" t="s">
        <v>1675</v>
      </c>
      <c r="G105" s="14" t="s">
        <v>1672</v>
      </c>
      <c r="H105" s="14" t="s">
        <v>624</v>
      </c>
      <c r="I105" s="14">
        <v>2002411</v>
      </c>
      <c r="J105" s="14">
        <v>0</v>
      </c>
      <c r="K105" s="14">
        <v>0</v>
      </c>
    </row>
    <row r="106" spans="1:11">
      <c r="A106" s="16" t="str">
        <f>VLOOKUP(E106,Table1[[#All],[Campo]],1,0)</f>
        <v>accmltd_imprmnt_instrmnt</v>
      </c>
      <c r="B106" s="14" t="s">
        <v>1684</v>
      </c>
      <c r="C106" s="14" t="s">
        <v>1685</v>
      </c>
      <c r="D106" s="14" t="s">
        <v>1422</v>
      </c>
      <c r="E106" s="14" t="s">
        <v>1528</v>
      </c>
      <c r="F106" s="14" t="s">
        <v>1675</v>
      </c>
      <c r="G106" s="14" t="s">
        <v>1672</v>
      </c>
      <c r="H106" s="14" t="s">
        <v>624</v>
      </c>
      <c r="I106" s="14">
        <v>2002411</v>
      </c>
      <c r="J106" s="14">
        <v>0</v>
      </c>
      <c r="K106" s="14">
        <v>0</v>
      </c>
    </row>
    <row r="107" spans="1:11">
      <c r="A107" s="16" t="e">
        <f>VLOOKUP(E107,Table1[[#All],[Campo]],1,0)</f>
        <v>#N/A</v>
      </c>
      <c r="B107" s="14" t="s">
        <v>1686</v>
      </c>
      <c r="C107" s="14" t="s">
        <v>1687</v>
      </c>
      <c r="D107" s="14" t="s">
        <v>1422</v>
      </c>
      <c r="E107" s="14" t="s">
        <v>1540</v>
      </c>
      <c r="F107" s="14" t="s">
        <v>1675</v>
      </c>
      <c r="G107" s="14" t="s">
        <v>1672</v>
      </c>
      <c r="H107" s="14" t="s">
        <v>624</v>
      </c>
      <c r="I107" s="14">
        <v>2002411</v>
      </c>
      <c r="J107" s="14">
        <v>0</v>
      </c>
      <c r="K107" s="14">
        <v>0</v>
      </c>
    </row>
    <row r="108" spans="1:11">
      <c r="A108" s="16" t="str">
        <f>VLOOKUP(E108,Table1[[#All],[Campo]],1,0)</f>
        <v>grss_intrst_incm</v>
      </c>
      <c r="B108" s="14" t="s">
        <v>1688</v>
      </c>
      <c r="C108" s="14" t="s">
        <v>1689</v>
      </c>
      <c r="D108" s="14" t="s">
        <v>1422</v>
      </c>
      <c r="E108" s="14" t="s">
        <v>1545</v>
      </c>
      <c r="F108" s="14" t="s">
        <v>1675</v>
      </c>
      <c r="G108" s="14" t="s">
        <v>1672</v>
      </c>
      <c r="H108" s="14" t="s">
        <v>624</v>
      </c>
      <c r="I108" s="14">
        <v>2002411</v>
      </c>
      <c r="J108" s="14">
        <v>0</v>
      </c>
      <c r="K108" s="14">
        <v>0</v>
      </c>
    </row>
    <row r="109" spans="1:11">
      <c r="A109" s="16" t="s">
        <v>1546</v>
      </c>
      <c r="B109" s="14" t="s">
        <v>1690</v>
      </c>
      <c r="C109" s="14" t="s">
        <v>1691</v>
      </c>
      <c r="D109" s="14" t="s">
        <v>1422</v>
      </c>
      <c r="E109" s="14" t="s">
        <v>1549</v>
      </c>
      <c r="F109" s="14" t="s">
        <v>1675</v>
      </c>
      <c r="G109" s="14" t="s">
        <v>1672</v>
      </c>
      <c r="H109" s="14" t="s">
        <v>624</v>
      </c>
      <c r="I109" s="14">
        <v>2002411</v>
      </c>
      <c r="J109" s="14">
        <v>0</v>
      </c>
      <c r="K109" s="14">
        <v>0</v>
      </c>
    </row>
    <row r="110" spans="1:11">
      <c r="A110" s="16" t="e">
        <f>VLOOKUP(E110,Table1[[#All],[Campo]],1,0)</f>
        <v>#N/A</v>
      </c>
      <c r="B110" s="14" t="s">
        <v>1692</v>
      </c>
      <c r="C110" s="14" t="s">
        <v>1693</v>
      </c>
      <c r="D110" s="14" t="s">
        <v>1422</v>
      </c>
      <c r="E110" s="14" t="s">
        <v>1552</v>
      </c>
      <c r="F110" s="14" t="s">
        <v>1675</v>
      </c>
      <c r="G110" s="14" t="s">
        <v>1672</v>
      </c>
      <c r="H110" s="14" t="s">
        <v>624</v>
      </c>
      <c r="I110" s="14">
        <v>2002411</v>
      </c>
      <c r="J110" s="14">
        <v>0</v>
      </c>
      <c r="K110" s="14">
        <v>0</v>
      </c>
    </row>
    <row r="111" spans="1:11">
      <c r="A111" s="16" t="e">
        <f>VLOOKUP(E111,Table1[[#All],[Campo]],1,0)</f>
        <v>#N/A</v>
      </c>
      <c r="B111" s="14" t="s">
        <v>1694</v>
      </c>
      <c r="C111" s="14" t="s">
        <v>1695</v>
      </c>
      <c r="D111" s="14" t="s">
        <v>1422</v>
      </c>
      <c r="E111" s="14" t="s">
        <v>1555</v>
      </c>
      <c r="F111" s="14" t="s">
        <v>1675</v>
      </c>
      <c r="G111" s="14" t="s">
        <v>1672</v>
      </c>
      <c r="H111" s="14" t="s">
        <v>624</v>
      </c>
      <c r="I111" s="14">
        <v>2002411</v>
      </c>
      <c r="J111" s="14">
        <v>0</v>
      </c>
      <c r="K111" s="14">
        <v>0</v>
      </c>
    </row>
    <row r="112" spans="1:11">
      <c r="A112" s="16" t="s">
        <v>1561</v>
      </c>
      <c r="B112" s="14" t="s">
        <v>1696</v>
      </c>
      <c r="C112" s="14" t="s">
        <v>1697</v>
      </c>
      <c r="D112" s="14" t="s">
        <v>1422</v>
      </c>
      <c r="E112" s="14" t="s">
        <v>1564</v>
      </c>
      <c r="F112" s="14" t="s">
        <v>1675</v>
      </c>
      <c r="G112" s="14" t="s">
        <v>1672</v>
      </c>
      <c r="H112" s="14" t="s">
        <v>624</v>
      </c>
      <c r="I112" s="14">
        <v>2002411</v>
      </c>
      <c r="J112" s="14">
        <v>0</v>
      </c>
      <c r="K112" s="14">
        <v>0</v>
      </c>
    </row>
    <row r="113" spans="1:11">
      <c r="A113" s="16" t="e">
        <f>VLOOKUP(E113,Table1[[#All],[Campo]],1,0)</f>
        <v>#N/A</v>
      </c>
      <c r="B113" s="14" t="s">
        <v>1698</v>
      </c>
      <c r="C113" s="14" t="s">
        <v>1699</v>
      </c>
      <c r="D113" s="14" t="s">
        <v>1422</v>
      </c>
      <c r="E113" s="14" t="s">
        <v>1567</v>
      </c>
      <c r="F113" s="14" t="s">
        <v>1675</v>
      </c>
      <c r="G113" s="14" t="s">
        <v>1672</v>
      </c>
      <c r="H113" s="14" t="s">
        <v>624</v>
      </c>
      <c r="I113" s="14">
        <v>2002411</v>
      </c>
      <c r="J113" s="14">
        <v>0</v>
      </c>
      <c r="K113" s="14">
        <v>0</v>
      </c>
    </row>
    <row r="114" spans="1:11">
      <c r="A114" s="16" t="e">
        <f>VLOOKUP(E114,Table1[[#All],[Campo]],1,0)</f>
        <v>#N/A</v>
      </c>
      <c r="B114" s="14" t="s">
        <v>1700</v>
      </c>
      <c r="C114" s="14" t="s">
        <v>1701</v>
      </c>
      <c r="D114" s="14" t="s">
        <v>1422</v>
      </c>
      <c r="E114" s="14" t="s">
        <v>1581</v>
      </c>
      <c r="F114" s="14" t="s">
        <v>1675</v>
      </c>
      <c r="G114" s="14" t="s">
        <v>1672</v>
      </c>
      <c r="H114" s="14" t="s">
        <v>624</v>
      </c>
      <c r="I114" s="14">
        <v>2002411</v>
      </c>
      <c r="J114" s="14">
        <v>0</v>
      </c>
      <c r="K114" s="14">
        <v>0</v>
      </c>
    </row>
    <row r="115" spans="1:11">
      <c r="A115" s="16" t="e">
        <f>VLOOKUP(E115,Table1[[#All],[Campo]],1,0)</f>
        <v>#N/A</v>
      </c>
      <c r="B115" s="14" t="s">
        <v>1702</v>
      </c>
      <c r="C115" s="14" t="s">
        <v>1703</v>
      </c>
      <c r="D115" s="14" t="s">
        <v>1422</v>
      </c>
      <c r="E115" s="14" t="s">
        <v>1584</v>
      </c>
      <c r="F115" s="14" t="s">
        <v>1675</v>
      </c>
      <c r="G115" s="14" t="s">
        <v>1672</v>
      </c>
      <c r="H115" s="14" t="s">
        <v>624</v>
      </c>
      <c r="I115" s="14">
        <v>2002411</v>
      </c>
      <c r="J115" s="14">
        <v>0</v>
      </c>
      <c r="K115" s="14">
        <v>0</v>
      </c>
    </row>
    <row r="116" spans="1:11">
      <c r="A116" s="16" t="s">
        <v>1585</v>
      </c>
      <c r="B116" s="14" t="s">
        <v>1704</v>
      </c>
      <c r="C116" s="14" t="s">
        <v>1705</v>
      </c>
      <c r="D116" s="14" t="s">
        <v>1422</v>
      </c>
      <c r="E116" s="14" t="s">
        <v>1588</v>
      </c>
      <c r="F116" s="14" t="s">
        <v>1675</v>
      </c>
      <c r="G116" s="14" t="s">
        <v>1672</v>
      </c>
      <c r="H116" s="14" t="s">
        <v>624</v>
      </c>
      <c r="I116" s="14">
        <v>2002411</v>
      </c>
      <c r="J116" s="14">
        <v>0</v>
      </c>
      <c r="K116" s="14">
        <v>0</v>
      </c>
    </row>
    <row r="117" spans="1:11">
      <c r="A117" s="16" t="s">
        <v>1589</v>
      </c>
      <c r="B117" s="14" t="s">
        <v>1706</v>
      </c>
      <c r="C117" s="14" t="s">
        <v>1707</v>
      </c>
      <c r="D117" s="14" t="s">
        <v>1422</v>
      </c>
      <c r="E117" s="14" t="s">
        <v>1592</v>
      </c>
      <c r="F117" s="14" t="s">
        <v>1675</v>
      </c>
      <c r="G117" s="14" t="s">
        <v>1672</v>
      </c>
      <c r="H117" s="14" t="s">
        <v>624</v>
      </c>
      <c r="I117" s="14">
        <v>2002411</v>
      </c>
      <c r="J117" s="14">
        <v>0</v>
      </c>
      <c r="K117" s="14">
        <v>0</v>
      </c>
    </row>
    <row r="118" spans="1:11">
      <c r="A118" s="16" t="e">
        <f>VLOOKUP(E118,Table1[[#All],[Campo]],1,0)</f>
        <v>#N/A</v>
      </c>
      <c r="B118" s="14" t="s">
        <v>1708</v>
      </c>
      <c r="C118" s="14" t="s">
        <v>1709</v>
      </c>
      <c r="D118" s="14" t="s">
        <v>1422</v>
      </c>
      <c r="E118" s="14" t="s">
        <v>1598</v>
      </c>
      <c r="F118" s="14" t="s">
        <v>1675</v>
      </c>
      <c r="G118" s="14" t="s">
        <v>1672</v>
      </c>
      <c r="H118" s="14" t="s">
        <v>624</v>
      </c>
      <c r="I118" s="14">
        <v>2002411</v>
      </c>
      <c r="J118" s="14">
        <v>0</v>
      </c>
      <c r="K118" s="14">
        <v>0</v>
      </c>
    </row>
    <row r="119" spans="1:11">
      <c r="A119" s="16" t="e">
        <f>VLOOKUP(E119,Table1[[#All],[Campo]],1,0)</f>
        <v>#N/A</v>
      </c>
      <c r="B119" s="14" t="s">
        <v>1710</v>
      </c>
      <c r="C119" s="14" t="s">
        <v>1711</v>
      </c>
      <c r="D119" s="14" t="s">
        <v>1422</v>
      </c>
      <c r="E119" s="14" t="s">
        <v>1604</v>
      </c>
      <c r="F119" s="14" t="s">
        <v>1675</v>
      </c>
      <c r="G119" s="14" t="s">
        <v>1672</v>
      </c>
      <c r="H119" s="14" t="s">
        <v>624</v>
      </c>
      <c r="I119" s="14">
        <v>2002411</v>
      </c>
      <c r="J119" s="14">
        <v>0</v>
      </c>
      <c r="K119" s="14">
        <v>0</v>
      </c>
    </row>
    <row r="120" spans="1:11">
      <c r="A120" s="16" t="e">
        <f>VLOOKUP(E120,Table1[[#All],[Campo]],1,0)</f>
        <v>#N/A</v>
      </c>
      <c r="B120" s="14" t="s">
        <v>1712</v>
      </c>
      <c r="C120" s="14" t="s">
        <v>1713</v>
      </c>
      <c r="D120" s="14" t="s">
        <v>1422</v>
      </c>
      <c r="E120" s="14" t="s">
        <v>1607</v>
      </c>
      <c r="F120" s="14" t="s">
        <v>1675</v>
      </c>
      <c r="G120" s="14" t="s">
        <v>1672</v>
      </c>
      <c r="H120" s="14" t="s">
        <v>624</v>
      </c>
      <c r="I120" s="14">
        <v>2002411</v>
      </c>
      <c r="J120" s="14">
        <v>0</v>
      </c>
      <c r="K120" s="14">
        <v>0</v>
      </c>
    </row>
    <row r="121" spans="1:11">
      <c r="A121" s="16" t="s">
        <v>1608</v>
      </c>
      <c r="B121" s="14" t="s">
        <v>1714</v>
      </c>
      <c r="C121" s="14" t="s">
        <v>1715</v>
      </c>
      <c r="D121" s="14" t="s">
        <v>1422</v>
      </c>
      <c r="E121" s="14" t="s">
        <v>1611</v>
      </c>
      <c r="F121" s="14" t="s">
        <v>1675</v>
      </c>
      <c r="G121" s="14" t="s">
        <v>1672</v>
      </c>
      <c r="H121" s="14" t="s">
        <v>624</v>
      </c>
      <c r="I121" s="14">
        <v>2002411</v>
      </c>
      <c r="J121" s="14">
        <v>0</v>
      </c>
      <c r="K121" s="14">
        <v>0</v>
      </c>
    </row>
    <row r="122" spans="1:11">
      <c r="A122" s="16" t="s">
        <v>1612</v>
      </c>
      <c r="B122" s="14" t="s">
        <v>1716</v>
      </c>
      <c r="C122" s="14" t="s">
        <v>1717</v>
      </c>
      <c r="D122" s="14" t="s">
        <v>1422</v>
      </c>
      <c r="E122" s="14" t="s">
        <v>1615</v>
      </c>
      <c r="F122" s="14" t="s">
        <v>1675</v>
      </c>
      <c r="G122" s="14" t="s">
        <v>1672</v>
      </c>
      <c r="H122" s="14" t="s">
        <v>624</v>
      </c>
      <c r="I122" s="14">
        <v>2002411</v>
      </c>
      <c r="J122" s="14">
        <v>0</v>
      </c>
      <c r="K122" s="14">
        <v>0</v>
      </c>
    </row>
    <row r="123" spans="1:11">
      <c r="A123" s="16" t="e">
        <f>VLOOKUP(E123,Table1[[#All],[Campo]],1,0)</f>
        <v>#N/A</v>
      </c>
      <c r="B123" s="14" t="s">
        <v>1718</v>
      </c>
      <c r="C123" s="14" t="s">
        <v>1719</v>
      </c>
      <c r="D123" s="14" t="s">
        <v>1422</v>
      </c>
      <c r="E123" s="14" t="s">
        <v>1618</v>
      </c>
      <c r="F123" s="14" t="s">
        <v>1675</v>
      </c>
      <c r="G123" s="14" t="s">
        <v>1672</v>
      </c>
      <c r="H123" s="14" t="s">
        <v>624</v>
      </c>
      <c r="I123" s="14">
        <v>2002411</v>
      </c>
      <c r="J123" s="14">
        <v>0</v>
      </c>
      <c r="K123" s="14">
        <v>0</v>
      </c>
    </row>
    <row r="124" spans="1:11">
      <c r="A124" s="16" t="s">
        <v>1621</v>
      </c>
      <c r="B124" s="14" t="s">
        <v>1720</v>
      </c>
      <c r="C124" s="14" t="s">
        <v>1721</v>
      </c>
      <c r="D124" s="14" t="s">
        <v>1422</v>
      </c>
      <c r="E124" s="14" t="s">
        <v>1624</v>
      </c>
      <c r="F124" s="14" t="s">
        <v>1675</v>
      </c>
      <c r="G124" s="14" t="s">
        <v>1672</v>
      </c>
      <c r="H124" s="14" t="s">
        <v>624</v>
      </c>
      <c r="I124" s="14">
        <v>2002411</v>
      </c>
      <c r="J124" s="14">
        <v>0</v>
      </c>
      <c r="K124" s="14">
        <v>0</v>
      </c>
    </row>
    <row r="125" spans="1:11">
      <c r="A125" s="16" t="s">
        <v>1625</v>
      </c>
      <c r="B125" s="14" t="s">
        <v>1722</v>
      </c>
      <c r="C125" s="14" t="s">
        <v>1723</v>
      </c>
      <c r="D125" s="14" t="s">
        <v>1422</v>
      </c>
      <c r="E125" s="14" t="s">
        <v>1628</v>
      </c>
      <c r="F125" s="14" t="s">
        <v>1675</v>
      </c>
      <c r="G125" s="14" t="s">
        <v>1672</v>
      </c>
      <c r="H125" s="14" t="s">
        <v>624</v>
      </c>
      <c r="I125" s="14">
        <v>2002411</v>
      </c>
      <c r="J125" s="14">
        <v>0</v>
      </c>
      <c r="K125" s="14">
        <v>0</v>
      </c>
    </row>
    <row r="126" spans="1:11">
      <c r="A126" s="16" t="str">
        <f>VLOOKUP(E126,Table1[[#All],[Campo]],1,0)</f>
        <v>dt_rfrnc</v>
      </c>
      <c r="B126" s="14" t="s">
        <v>1724</v>
      </c>
      <c r="C126" s="14" t="s">
        <v>1667</v>
      </c>
      <c r="D126" s="14" t="s">
        <v>1473</v>
      </c>
      <c r="E126" s="14" t="s">
        <v>1405</v>
      </c>
      <c r="F126" s="14" t="s">
        <v>1651</v>
      </c>
      <c r="G126" s="14" t="s">
        <v>1725</v>
      </c>
      <c r="H126" s="14" t="s">
        <v>624</v>
      </c>
      <c r="I126" s="14">
        <v>731165</v>
      </c>
      <c r="J126" s="14">
        <v>0</v>
      </c>
      <c r="K126" s="14">
        <v>0</v>
      </c>
    </row>
    <row r="127" spans="1:11">
      <c r="A127" s="16" t="str">
        <f>VLOOKUP(E127,Table1[[#All],[Campo]],1,0)</f>
        <v>dt_rfrnc</v>
      </c>
      <c r="B127" s="14" t="s">
        <v>1726</v>
      </c>
      <c r="C127" s="14" t="s">
        <v>1667</v>
      </c>
      <c r="D127" s="14" t="s">
        <v>1638</v>
      </c>
      <c r="E127" s="14" t="s">
        <v>1405</v>
      </c>
      <c r="F127" s="14" t="s">
        <v>1651</v>
      </c>
      <c r="G127" s="14" t="s">
        <v>1727</v>
      </c>
      <c r="H127" s="14" t="s">
        <v>624</v>
      </c>
      <c r="I127" s="14">
        <v>456960</v>
      </c>
      <c r="J127" s="14">
        <v>0</v>
      </c>
      <c r="K127" s="14">
        <v>0</v>
      </c>
    </row>
    <row r="128" spans="1:11">
      <c r="A128" s="16" t="str">
        <f>VLOOKUP(E128,Table1[[#All],[Campo]],1,0)</f>
        <v>subportfolio_id</v>
      </c>
      <c r="B128" s="14" t="s">
        <v>1728</v>
      </c>
      <c r="C128" s="14" t="s">
        <v>1729</v>
      </c>
      <c r="D128" s="14" t="s">
        <v>1730</v>
      </c>
      <c r="E128" s="14" t="s">
        <v>1494</v>
      </c>
      <c r="F128" s="14" t="s">
        <v>1731</v>
      </c>
      <c r="G128" s="14" t="s">
        <v>1732</v>
      </c>
      <c r="H128" s="14" t="s">
        <v>624</v>
      </c>
      <c r="I128" s="14">
        <v>0</v>
      </c>
      <c r="J128" s="14">
        <v>0</v>
      </c>
      <c r="K128" s="14">
        <v>0</v>
      </c>
    </row>
    <row r="129" spans="1:11">
      <c r="A129" s="16" t="str">
        <f>VLOOKUP(E129,Table1[[#All],[Campo]],1,0)</f>
        <v>dflt_stts_instrmnt</v>
      </c>
      <c r="B129" s="14" t="s">
        <v>1733</v>
      </c>
      <c r="C129" s="14" t="s">
        <v>1734</v>
      </c>
      <c r="D129" s="14" t="s">
        <v>1735</v>
      </c>
      <c r="E129" s="14" t="s">
        <v>1423</v>
      </c>
      <c r="F129" s="14" t="s">
        <v>1731</v>
      </c>
      <c r="G129" s="14" t="s">
        <v>1732</v>
      </c>
      <c r="H129" s="14" t="s">
        <v>624</v>
      </c>
      <c r="I129" s="14">
        <v>0</v>
      </c>
      <c r="J129" s="14">
        <v>0</v>
      </c>
      <c r="K129" s="14">
        <v>0</v>
      </c>
    </row>
    <row r="130" spans="1:11">
      <c r="A130" s="16" t="str">
        <f>VLOOKUP(E130,Table1[[#All],[Campo]],1,0)</f>
        <v>dflt_stts_instrmnt</v>
      </c>
      <c r="B130" s="14" t="s">
        <v>1736</v>
      </c>
      <c r="C130" s="14" t="s">
        <v>1737</v>
      </c>
      <c r="D130" s="14" t="s">
        <v>1738</v>
      </c>
      <c r="E130" s="14" t="s">
        <v>1423</v>
      </c>
      <c r="F130" s="14" t="s">
        <v>1731</v>
      </c>
      <c r="G130" s="14" t="s">
        <v>1732</v>
      </c>
      <c r="H130" s="14" t="s">
        <v>624</v>
      </c>
      <c r="I130" s="14">
        <v>0</v>
      </c>
      <c r="J130" s="14">
        <v>0</v>
      </c>
      <c r="K130" s="14">
        <v>0</v>
      </c>
    </row>
    <row r="131" spans="1:11">
      <c r="A131" s="16" t="str">
        <f>VLOOKUP(E131,Table1[[#All],[Campo]],1,0)</f>
        <v>dflt_stts_instrmnt</v>
      </c>
      <c r="B131" s="14" t="s">
        <v>1739</v>
      </c>
      <c r="C131" s="14" t="s">
        <v>1740</v>
      </c>
      <c r="D131" s="14" t="s">
        <v>1730</v>
      </c>
      <c r="E131" s="14" t="s">
        <v>1423</v>
      </c>
      <c r="F131" s="14" t="s">
        <v>1731</v>
      </c>
      <c r="G131" s="14" t="s">
        <v>1732</v>
      </c>
      <c r="H131" s="14" t="s">
        <v>624</v>
      </c>
      <c r="I131" s="14">
        <v>0</v>
      </c>
      <c r="J131" s="14">
        <v>0</v>
      </c>
      <c r="K131" s="14">
        <v>0</v>
      </c>
    </row>
    <row r="132" spans="1:11">
      <c r="A132" s="16" t="str">
        <f>VLOOKUP(E132,Table1[[#All],[Campo]],1,0)</f>
        <v>imprmnt_stts</v>
      </c>
      <c r="B132" s="14" t="s">
        <v>1741</v>
      </c>
      <c r="C132" s="14" t="s">
        <v>1742</v>
      </c>
      <c r="D132" s="14" t="s">
        <v>1730</v>
      </c>
      <c r="E132" s="14" t="s">
        <v>1501</v>
      </c>
      <c r="F132" s="14" t="s">
        <v>1731</v>
      </c>
      <c r="G132" s="14" t="s">
        <v>1732</v>
      </c>
      <c r="H132" s="14" t="s">
        <v>1425</v>
      </c>
      <c r="I132" s="14">
        <v>9703</v>
      </c>
      <c r="J132" s="14">
        <v>1</v>
      </c>
      <c r="K132" s="14">
        <v>1.03E-2</v>
      </c>
    </row>
    <row r="133" spans="1:11">
      <c r="A133" s="16" t="str">
        <f>VLOOKUP(E133,Table1[[#All],[Campo]],1,0)</f>
        <v>imprmnt_stts</v>
      </c>
      <c r="B133" s="14" t="s">
        <v>1743</v>
      </c>
      <c r="C133" s="14" t="s">
        <v>1744</v>
      </c>
      <c r="D133" s="14" t="s">
        <v>1730</v>
      </c>
      <c r="E133" s="14" t="s">
        <v>1501</v>
      </c>
      <c r="F133" s="14" t="s">
        <v>1731</v>
      </c>
      <c r="G133" s="14" t="s">
        <v>1732</v>
      </c>
      <c r="H133" s="14" t="s">
        <v>1425</v>
      </c>
      <c r="I133" s="14">
        <v>92666</v>
      </c>
      <c r="J133" s="14">
        <v>3283</v>
      </c>
      <c r="K133" s="14">
        <v>3.5428000000000002</v>
      </c>
    </row>
    <row r="134" spans="1:11">
      <c r="A134" s="16" t="str">
        <f>VLOOKUP(E134,Table1[[#All],[Campo]],1,0)</f>
        <v>imprmnt_stts</v>
      </c>
      <c r="B134" s="14" t="s">
        <v>1745</v>
      </c>
      <c r="C134" s="14" t="s">
        <v>1746</v>
      </c>
      <c r="D134" s="14" t="s">
        <v>1730</v>
      </c>
      <c r="E134" s="14" t="s">
        <v>1501</v>
      </c>
      <c r="F134" s="14" t="s">
        <v>1731</v>
      </c>
      <c r="G134" s="14" t="s">
        <v>1732</v>
      </c>
      <c r="H134" s="14" t="s">
        <v>1425</v>
      </c>
      <c r="I134" s="14">
        <v>1813562</v>
      </c>
      <c r="J134" s="14">
        <v>4684</v>
      </c>
      <c r="K134" s="14">
        <v>0.25829999999999997</v>
      </c>
    </row>
    <row r="135" spans="1:11">
      <c r="A135" s="16" t="str">
        <f>VLOOKUP(E135,Table1[[#All],[Campo]],1,0)</f>
        <v>imprmnt_stts</v>
      </c>
      <c r="B135" s="14" t="s">
        <v>1747</v>
      </c>
      <c r="C135" s="14" t="s">
        <v>1748</v>
      </c>
      <c r="D135" s="14" t="s">
        <v>1730</v>
      </c>
      <c r="E135" s="14" t="s">
        <v>1501</v>
      </c>
      <c r="F135" s="14" t="s">
        <v>1731</v>
      </c>
      <c r="G135" s="14" t="s">
        <v>1732</v>
      </c>
      <c r="H135" s="14" t="s">
        <v>624</v>
      </c>
      <c r="I135" s="14">
        <v>1905178</v>
      </c>
      <c r="J135" s="14">
        <v>0</v>
      </c>
      <c r="K135" s="14">
        <v>0</v>
      </c>
    </row>
    <row r="136" spans="1:11">
      <c r="A136" s="16" t="str">
        <f>VLOOKUP(E136,Table1[[#All],[Campo]],1,0)</f>
        <v>imprmnt_stts</v>
      </c>
      <c r="B136" s="14" t="s">
        <v>1749</v>
      </c>
      <c r="C136" s="14" t="s">
        <v>1750</v>
      </c>
      <c r="D136" s="14" t="s">
        <v>1735</v>
      </c>
      <c r="E136" s="14" t="s">
        <v>1501</v>
      </c>
      <c r="F136" s="14" t="s">
        <v>1731</v>
      </c>
      <c r="G136" s="14" t="s">
        <v>1732</v>
      </c>
      <c r="H136" s="14" t="s">
        <v>1425</v>
      </c>
      <c r="I136" s="14">
        <v>18441</v>
      </c>
      <c r="J136" s="14">
        <v>2850</v>
      </c>
      <c r="K136" s="14">
        <v>15.454700000000001</v>
      </c>
    </row>
    <row r="137" spans="1:11">
      <c r="A137" s="16" t="str">
        <f>VLOOKUP(E137,Table1[[#All],[Campo]],1,0)</f>
        <v>imprmnt_stts</v>
      </c>
      <c r="B137" s="14" t="s">
        <v>1751</v>
      </c>
      <c r="C137" s="14" t="s">
        <v>1752</v>
      </c>
      <c r="D137" s="14" t="s">
        <v>1753</v>
      </c>
      <c r="E137" s="14" t="s">
        <v>1501</v>
      </c>
      <c r="F137" s="14" t="s">
        <v>1731</v>
      </c>
      <c r="G137" s="14" t="s">
        <v>1732</v>
      </c>
      <c r="H137" s="14" t="s">
        <v>624</v>
      </c>
      <c r="I137" s="14">
        <v>1724899</v>
      </c>
      <c r="J137" s="14">
        <v>0</v>
      </c>
      <c r="K137" s="14">
        <v>0</v>
      </c>
    </row>
    <row r="138" spans="1:11">
      <c r="A138" s="16" t="str">
        <f>VLOOKUP(E138,Table1[[#All],[Campo]],1,0)</f>
        <v>imprmnt_stts</v>
      </c>
      <c r="B138" s="14" t="s">
        <v>1754</v>
      </c>
      <c r="C138" s="14" t="s">
        <v>1755</v>
      </c>
      <c r="D138" s="14" t="s">
        <v>1753</v>
      </c>
      <c r="E138" s="14" t="s">
        <v>1501</v>
      </c>
      <c r="F138" s="14" t="s">
        <v>1731</v>
      </c>
      <c r="G138" s="14" t="s">
        <v>1732</v>
      </c>
      <c r="H138" s="14" t="s">
        <v>624</v>
      </c>
      <c r="I138" s="14">
        <v>1472964</v>
      </c>
      <c r="J138" s="14">
        <v>0</v>
      </c>
      <c r="K138" s="14">
        <v>0</v>
      </c>
    </row>
    <row r="139" spans="1:11">
      <c r="A139" s="16" t="str">
        <f>VLOOKUP(E139,Table1[[#All],[Campo]],1,0)</f>
        <v>imprmnt_stts</v>
      </c>
      <c r="B139" s="14" t="s">
        <v>1756</v>
      </c>
      <c r="C139" s="14" t="s">
        <v>1757</v>
      </c>
      <c r="D139" s="14" t="s">
        <v>1753</v>
      </c>
      <c r="E139" s="14" t="s">
        <v>1501</v>
      </c>
      <c r="F139" s="14" t="s">
        <v>1731</v>
      </c>
      <c r="G139" s="14" t="s">
        <v>1732</v>
      </c>
      <c r="H139" s="14" t="s">
        <v>624</v>
      </c>
      <c r="I139" s="14">
        <v>432214</v>
      </c>
      <c r="J139" s="14">
        <v>0</v>
      </c>
      <c r="K139" s="14">
        <v>0</v>
      </c>
    </row>
    <row r="140" spans="1:11">
      <c r="A140" s="16" t="str">
        <f>VLOOKUP(E140,Table1[[#All],[Campo]],1,0)</f>
        <v>imprmnt_stts</v>
      </c>
      <c r="B140" s="14" t="s">
        <v>1758</v>
      </c>
      <c r="C140" s="14" t="s">
        <v>1759</v>
      </c>
      <c r="D140" s="14" t="s">
        <v>1753</v>
      </c>
      <c r="E140" s="14" t="s">
        <v>1501</v>
      </c>
      <c r="F140" s="14" t="s">
        <v>1731</v>
      </c>
      <c r="G140" s="14" t="s">
        <v>1732</v>
      </c>
      <c r="H140" s="14" t="s">
        <v>624</v>
      </c>
      <c r="I140" s="14">
        <v>97233</v>
      </c>
      <c r="J140" s="14">
        <v>0</v>
      </c>
      <c r="K140" s="14">
        <v>0</v>
      </c>
    </row>
    <row r="141" spans="1:11">
      <c r="A141" s="16" t="str">
        <f>VLOOKUP(E141,Table1[[#All],[Campo]],1,0)</f>
        <v>prfrmng_stts</v>
      </c>
      <c r="B141" s="14" t="s">
        <v>1760</v>
      </c>
      <c r="C141" s="14" t="s">
        <v>1761</v>
      </c>
      <c r="D141" s="14" t="s">
        <v>1730</v>
      </c>
      <c r="E141" s="14" t="s">
        <v>1428</v>
      </c>
      <c r="F141" s="14" t="s">
        <v>1731</v>
      </c>
      <c r="G141" s="14" t="s">
        <v>1732</v>
      </c>
      <c r="H141" s="14" t="s">
        <v>1425</v>
      </c>
      <c r="I141" s="14">
        <v>92666</v>
      </c>
      <c r="J141" s="14">
        <v>3283</v>
      </c>
      <c r="K141" s="14">
        <v>3.5428000000000002</v>
      </c>
    </row>
    <row r="142" spans="1:11">
      <c r="A142" s="16" t="str">
        <f>VLOOKUP(E142,Table1[[#All],[Campo]],1,0)</f>
        <v>prfrmng_stts</v>
      </c>
      <c r="B142" s="14" t="s">
        <v>1762</v>
      </c>
      <c r="C142" s="14" t="s">
        <v>1763</v>
      </c>
      <c r="D142" s="14" t="s">
        <v>1730</v>
      </c>
      <c r="E142" s="14" t="s">
        <v>1428</v>
      </c>
      <c r="F142" s="14" t="s">
        <v>1731</v>
      </c>
      <c r="G142" s="14" t="s">
        <v>1732</v>
      </c>
      <c r="H142" s="14" t="s">
        <v>624</v>
      </c>
      <c r="I142" s="14">
        <v>114216</v>
      </c>
      <c r="J142" s="14">
        <v>0</v>
      </c>
      <c r="K142" s="14">
        <v>0</v>
      </c>
    </row>
    <row r="143" spans="1:11">
      <c r="A143" s="16" t="str">
        <f>VLOOKUP(E143,Table1[[#All],[Campo]],1,0)</f>
        <v>prfrmng_stts</v>
      </c>
      <c r="B143" s="14" t="s">
        <v>1764</v>
      </c>
      <c r="C143" s="14" t="s">
        <v>1765</v>
      </c>
      <c r="D143" s="14" t="s">
        <v>1730</v>
      </c>
      <c r="E143" s="14" t="s">
        <v>1428</v>
      </c>
      <c r="F143" s="14" t="s">
        <v>1731</v>
      </c>
      <c r="G143" s="14" t="s">
        <v>1732</v>
      </c>
      <c r="H143" s="14" t="s">
        <v>624</v>
      </c>
      <c r="I143" s="14">
        <v>1408741</v>
      </c>
      <c r="J143" s="14">
        <v>0</v>
      </c>
      <c r="K143" s="14">
        <v>0</v>
      </c>
    </row>
    <row r="144" spans="1:11">
      <c r="A144" s="16" t="str">
        <f>VLOOKUP(E144,Table1[[#All],[Campo]],1,0)</f>
        <v>prfrmng_stts</v>
      </c>
      <c r="B144" s="14" t="s">
        <v>1766</v>
      </c>
      <c r="C144" s="14" t="s">
        <v>1767</v>
      </c>
      <c r="D144" s="14" t="s">
        <v>1738</v>
      </c>
      <c r="E144" s="14" t="s">
        <v>1428</v>
      </c>
      <c r="F144" s="14" t="s">
        <v>1731</v>
      </c>
      <c r="G144" s="14" t="s">
        <v>1732</v>
      </c>
      <c r="H144" s="14" t="s">
        <v>624</v>
      </c>
      <c r="I144" s="14">
        <v>0</v>
      </c>
      <c r="J144" s="14">
        <v>0</v>
      </c>
      <c r="K144" s="14">
        <v>0</v>
      </c>
    </row>
    <row r="145" spans="1:11">
      <c r="A145" s="16" t="str">
        <f>VLOOKUP(E145,Table1[[#All],[Campo]],1,0)</f>
        <v>prfrmng_stts</v>
      </c>
      <c r="B145" s="14" t="s">
        <v>1768</v>
      </c>
      <c r="C145" s="14" t="s">
        <v>1769</v>
      </c>
      <c r="D145" s="14" t="s">
        <v>1753</v>
      </c>
      <c r="E145" s="14" t="s">
        <v>1428</v>
      </c>
      <c r="F145" s="14" t="s">
        <v>1731</v>
      </c>
      <c r="G145" s="14" t="s">
        <v>1732</v>
      </c>
      <c r="H145" s="14" t="s">
        <v>624</v>
      </c>
      <c r="I145" s="14">
        <v>1905178</v>
      </c>
      <c r="J145" s="14">
        <v>0</v>
      </c>
      <c r="K145" s="14">
        <v>0</v>
      </c>
    </row>
    <row r="146" spans="1:11">
      <c r="A146" s="16" t="str">
        <f>VLOOKUP(E146,Table1[[#All],[Campo]],1,0)</f>
        <v>prfrmng_stts</v>
      </c>
      <c r="B146" s="14" t="s">
        <v>1770</v>
      </c>
      <c r="C146" s="14" t="s">
        <v>1771</v>
      </c>
      <c r="D146" s="14" t="s">
        <v>1753</v>
      </c>
      <c r="E146" s="14" t="s">
        <v>1428</v>
      </c>
      <c r="F146" s="14" t="s">
        <v>1731</v>
      </c>
      <c r="G146" s="14" t="s">
        <v>1732</v>
      </c>
      <c r="H146" s="14" t="s">
        <v>624</v>
      </c>
      <c r="I146" s="14">
        <v>97233</v>
      </c>
      <c r="J146" s="14">
        <v>0</v>
      </c>
      <c r="K146" s="14">
        <v>0</v>
      </c>
    </row>
    <row r="147" spans="1:11">
      <c r="A147" s="16" t="str">
        <f>VLOOKUP(E147,Table1[[#All],[Campo]],1,0)</f>
        <v>prfrmng_stts</v>
      </c>
      <c r="B147" s="14" t="s">
        <v>1772</v>
      </c>
      <c r="C147" s="14" t="s">
        <v>1773</v>
      </c>
      <c r="D147" s="14" t="s">
        <v>1738</v>
      </c>
      <c r="E147" s="14" t="s">
        <v>1428</v>
      </c>
      <c r="F147" s="14" t="s">
        <v>1731</v>
      </c>
      <c r="G147" s="14" t="s">
        <v>1732</v>
      </c>
      <c r="H147" s="14" t="s">
        <v>624</v>
      </c>
      <c r="I147" s="14">
        <v>0</v>
      </c>
      <c r="J147" s="14">
        <v>0</v>
      </c>
      <c r="K147" s="14">
        <v>0</v>
      </c>
    </row>
    <row r="148" spans="1:11">
      <c r="A148" s="16" t="str">
        <f>VLOOKUP(E148,Table1[[#All],[Campo]],1,0)</f>
        <v>prfrmng_stts</v>
      </c>
      <c r="B148" s="14" t="s">
        <v>1774</v>
      </c>
      <c r="C148" s="14" t="s">
        <v>1775</v>
      </c>
      <c r="D148" s="14" t="s">
        <v>1730</v>
      </c>
      <c r="E148" s="14" t="s">
        <v>1428</v>
      </c>
      <c r="F148" s="14" t="s">
        <v>1731</v>
      </c>
      <c r="G148" s="14" t="s">
        <v>1732</v>
      </c>
      <c r="H148" s="14" t="s">
        <v>624</v>
      </c>
      <c r="I148" s="14">
        <v>97233</v>
      </c>
      <c r="J148" s="14">
        <v>0</v>
      </c>
      <c r="K148" s="14">
        <v>0</v>
      </c>
    </row>
    <row r="149" spans="1:11">
      <c r="A149" s="16" t="str">
        <f>VLOOKUP(E149,Table1[[#All],[Campo]],1,0)</f>
        <v>prfrmng_stts</v>
      </c>
      <c r="B149" s="14" t="s">
        <v>1776</v>
      </c>
      <c r="C149" s="14" t="s">
        <v>1777</v>
      </c>
      <c r="D149" s="14" t="s">
        <v>1735</v>
      </c>
      <c r="E149" s="14" t="s">
        <v>1428</v>
      </c>
      <c r="F149" s="14" t="s">
        <v>1731</v>
      </c>
      <c r="G149" s="14" t="s">
        <v>1732</v>
      </c>
      <c r="H149" s="14" t="s">
        <v>1425</v>
      </c>
      <c r="I149" s="14">
        <v>113163</v>
      </c>
      <c r="J149" s="14">
        <v>15043</v>
      </c>
      <c r="K149" s="14">
        <v>13.293200000000001</v>
      </c>
    </row>
    <row r="150" spans="1:11">
      <c r="A150" s="16" t="str">
        <f>VLOOKUP(E150,Table1[[#All],[Campo]],1,0)</f>
        <v>grss_crryng_amnt_instrmnt</v>
      </c>
      <c r="B150" s="14" t="s">
        <v>1778</v>
      </c>
      <c r="C150" s="14" t="s">
        <v>1779</v>
      </c>
      <c r="D150" s="14" t="s">
        <v>1730</v>
      </c>
      <c r="E150" s="14" t="s">
        <v>1509</v>
      </c>
      <c r="F150" s="14" t="s">
        <v>1731</v>
      </c>
      <c r="G150" s="14" t="s">
        <v>1732</v>
      </c>
      <c r="H150" s="14" t="s">
        <v>624</v>
      </c>
      <c r="I150" s="14">
        <v>1724899</v>
      </c>
      <c r="J150" s="14">
        <v>0</v>
      </c>
      <c r="K150" s="14">
        <v>0</v>
      </c>
    </row>
    <row r="151" spans="1:11">
      <c r="A151" s="16" t="str">
        <f>VLOOKUP(E151,Table1[[#All],[Campo]],1,0)</f>
        <v>grss_crryng_amnt_instrmnt</v>
      </c>
      <c r="B151" s="14" t="s">
        <v>1780</v>
      </c>
      <c r="C151" s="14" t="s">
        <v>1781</v>
      </c>
      <c r="D151" s="14" t="s">
        <v>1730</v>
      </c>
      <c r="E151" s="14" t="s">
        <v>1509</v>
      </c>
      <c r="F151" s="14" t="s">
        <v>1731</v>
      </c>
      <c r="G151" s="14" t="s">
        <v>1732</v>
      </c>
      <c r="H151" s="14" t="s">
        <v>624</v>
      </c>
      <c r="I151" s="14">
        <v>0</v>
      </c>
      <c r="J151" s="14">
        <v>0</v>
      </c>
      <c r="K151" s="14">
        <v>0</v>
      </c>
    </row>
    <row r="152" spans="1:11">
      <c r="A152" s="16" t="str">
        <f>VLOOKUP(E152,Table1[[#All],[Campo]],1,0)</f>
        <v>grss_crryng_amnt_instrmnt</v>
      </c>
      <c r="B152" s="14" t="s">
        <v>1782</v>
      </c>
      <c r="C152" s="14" t="s">
        <v>1783</v>
      </c>
      <c r="D152" s="14" t="s">
        <v>1730</v>
      </c>
      <c r="E152" s="14" t="s">
        <v>1509</v>
      </c>
      <c r="F152" s="14" t="s">
        <v>1731</v>
      </c>
      <c r="G152" s="14" t="s">
        <v>1732</v>
      </c>
      <c r="H152" s="14" t="s">
        <v>624</v>
      </c>
      <c r="I152" s="14">
        <v>277512</v>
      </c>
      <c r="J152" s="14">
        <v>0</v>
      </c>
      <c r="K152" s="14">
        <v>0</v>
      </c>
    </row>
    <row r="153" spans="1:11">
      <c r="A153" s="16" t="str">
        <f>VLOOKUP(E153,Table1[[#All],[Campo]],1,0)</f>
        <v>accmltd_chngs_fv_cr_instrmnt</v>
      </c>
      <c r="B153" s="14" t="s">
        <v>1784</v>
      </c>
      <c r="C153" s="14" t="s">
        <v>1785</v>
      </c>
      <c r="D153" s="14" t="s">
        <v>1730</v>
      </c>
      <c r="E153" s="14" t="s">
        <v>1513</v>
      </c>
      <c r="F153" s="14" t="s">
        <v>1731</v>
      </c>
      <c r="G153" s="14" t="s">
        <v>1732</v>
      </c>
      <c r="H153" s="14" t="s">
        <v>624</v>
      </c>
      <c r="I153" s="14">
        <v>305642</v>
      </c>
      <c r="J153" s="14">
        <v>0</v>
      </c>
      <c r="K153" s="14">
        <v>0</v>
      </c>
    </row>
    <row r="154" spans="1:11">
      <c r="A154" s="16" t="str">
        <f>VLOOKUP(E154,Table1[[#All],[Campo]],1,0)</f>
        <v>accmltd_chngs_fv_cr_instrmnt</v>
      </c>
      <c r="B154" s="14" t="s">
        <v>1786</v>
      </c>
      <c r="C154" s="14" t="s">
        <v>1787</v>
      </c>
      <c r="D154" s="14" t="s">
        <v>1730</v>
      </c>
      <c r="E154" s="14" t="s">
        <v>1513</v>
      </c>
      <c r="F154" s="14" t="s">
        <v>1731</v>
      </c>
      <c r="G154" s="14" t="s">
        <v>1732</v>
      </c>
      <c r="H154" s="14" t="s">
        <v>624</v>
      </c>
      <c r="I154" s="14">
        <v>0</v>
      </c>
      <c r="J154" s="14">
        <v>0</v>
      </c>
      <c r="K154" s="14">
        <v>0</v>
      </c>
    </row>
    <row r="155" spans="1:11">
      <c r="A155" s="16" t="str">
        <f>VLOOKUP(E155,Table1[[#All],[Campo]],1,0)</f>
        <v>accntng_clssfctn</v>
      </c>
      <c r="B155" s="14" t="s">
        <v>1788</v>
      </c>
      <c r="C155" s="14" t="s">
        <v>1789</v>
      </c>
      <c r="D155" s="14" t="s">
        <v>1730</v>
      </c>
      <c r="E155" s="14" t="s">
        <v>1516</v>
      </c>
      <c r="F155" s="14" t="s">
        <v>1731</v>
      </c>
      <c r="G155" s="14" t="s">
        <v>1732</v>
      </c>
      <c r="H155" s="14" t="s">
        <v>624</v>
      </c>
      <c r="I155" s="14">
        <v>1724797</v>
      </c>
      <c r="J155" s="14">
        <v>0</v>
      </c>
      <c r="K155" s="14">
        <v>0</v>
      </c>
    </row>
    <row r="156" spans="1:11">
      <c r="A156" s="16" t="str">
        <f>VLOOKUP(E156,Table1[[#All],[Campo]],1,0)</f>
        <v>accntng_clssfctn</v>
      </c>
      <c r="B156" s="14" t="s">
        <v>1790</v>
      </c>
      <c r="C156" s="14" t="s">
        <v>1791</v>
      </c>
      <c r="D156" s="14" t="s">
        <v>1730</v>
      </c>
      <c r="E156" s="14" t="s">
        <v>1516</v>
      </c>
      <c r="F156" s="14" t="s">
        <v>1731</v>
      </c>
      <c r="G156" s="14" t="s">
        <v>1732</v>
      </c>
      <c r="H156" s="14" t="s">
        <v>624</v>
      </c>
      <c r="I156" s="14">
        <v>93</v>
      </c>
      <c r="J156" s="14">
        <v>0</v>
      </c>
      <c r="K156" s="14">
        <v>0</v>
      </c>
    </row>
    <row r="157" spans="1:11">
      <c r="A157" s="16" t="str">
        <f>VLOOKUP(E157,Table1[[#All],[Campo]],1,0)</f>
        <v>accntng_clssfctn</v>
      </c>
      <c r="B157" s="14" t="s">
        <v>1792</v>
      </c>
      <c r="C157" s="14" t="s">
        <v>1793</v>
      </c>
      <c r="D157" s="14" t="s">
        <v>1730</v>
      </c>
      <c r="E157" s="14" t="s">
        <v>1516</v>
      </c>
      <c r="F157" s="14" t="s">
        <v>1731</v>
      </c>
      <c r="G157" s="14" t="s">
        <v>1732</v>
      </c>
      <c r="H157" s="14" t="s">
        <v>624</v>
      </c>
      <c r="I157" s="14">
        <v>0</v>
      </c>
      <c r="J157" s="14">
        <v>0</v>
      </c>
      <c r="K157" s="14">
        <v>0</v>
      </c>
    </row>
    <row r="158" spans="1:11">
      <c r="A158" s="16" t="str">
        <f>VLOOKUP(E158,Table1[[#All],[Campo]],1,0)</f>
        <v>accntng_clssfctn</v>
      </c>
      <c r="B158" s="14" t="s">
        <v>1794</v>
      </c>
      <c r="C158" s="14" t="s">
        <v>1795</v>
      </c>
      <c r="D158" s="14" t="s">
        <v>1730</v>
      </c>
      <c r="E158" s="14" t="s">
        <v>1516</v>
      </c>
      <c r="F158" s="14" t="s">
        <v>1731</v>
      </c>
      <c r="G158" s="14" t="s">
        <v>1732</v>
      </c>
      <c r="H158" s="14" t="s">
        <v>624</v>
      </c>
      <c r="I158" s="14">
        <v>9</v>
      </c>
      <c r="J158" s="14">
        <v>0</v>
      </c>
      <c r="K158" s="14">
        <v>0</v>
      </c>
    </row>
    <row r="159" spans="1:11">
      <c r="A159" s="16" t="e">
        <f>VLOOKUP(E159,Table1[[#All],[Campo]],1,0)</f>
        <v>#N/A</v>
      </c>
      <c r="B159" s="14" t="s">
        <v>1796</v>
      </c>
      <c r="C159" s="14" t="s">
        <v>1797</v>
      </c>
      <c r="D159" s="14" t="s">
        <v>1730</v>
      </c>
      <c r="E159" s="14" t="s">
        <v>1519</v>
      </c>
      <c r="F159" s="14" t="s">
        <v>1731</v>
      </c>
      <c r="G159" s="14" t="s">
        <v>1732</v>
      </c>
      <c r="H159" s="14" t="s">
        <v>1425</v>
      </c>
      <c r="I159" s="14">
        <v>2002318</v>
      </c>
      <c r="J159" s="14">
        <v>317</v>
      </c>
      <c r="K159" s="14">
        <v>1.5800000000000002E-2</v>
      </c>
    </row>
    <row r="160" spans="1:11">
      <c r="A160" s="16" t="e">
        <f>VLOOKUP(E160,Table1[[#All],[Campo]],1,0)</f>
        <v>#N/A</v>
      </c>
      <c r="B160" s="14" t="s">
        <v>1798</v>
      </c>
      <c r="C160" s="14" t="s">
        <v>1799</v>
      </c>
      <c r="D160" s="14" t="s">
        <v>1730</v>
      </c>
      <c r="E160" s="14" t="s">
        <v>1519</v>
      </c>
      <c r="F160" s="14" t="s">
        <v>1731</v>
      </c>
      <c r="G160" s="14" t="s">
        <v>1732</v>
      </c>
      <c r="H160" s="14" t="s">
        <v>624</v>
      </c>
      <c r="I160" s="14">
        <v>1646037</v>
      </c>
      <c r="J160" s="14">
        <v>0</v>
      </c>
      <c r="K160" s="14">
        <v>0</v>
      </c>
    </row>
    <row r="161" spans="1:11">
      <c r="A161" s="16" t="e">
        <f>VLOOKUP(E161,Table1[[#All],[Campo]],1,0)</f>
        <v>#N/A</v>
      </c>
      <c r="B161" s="14" t="s">
        <v>1800</v>
      </c>
      <c r="C161" s="14" t="s">
        <v>1801</v>
      </c>
      <c r="D161" s="14" t="s">
        <v>1730</v>
      </c>
      <c r="E161" s="14" t="s">
        <v>1519</v>
      </c>
      <c r="F161" s="14" t="s">
        <v>1731</v>
      </c>
      <c r="G161" s="14" t="s">
        <v>1732</v>
      </c>
      <c r="H161" s="14" t="s">
        <v>624</v>
      </c>
      <c r="I161" s="14">
        <v>253</v>
      </c>
      <c r="J161" s="14">
        <v>0</v>
      </c>
      <c r="K161" s="14">
        <v>0</v>
      </c>
    </row>
    <row r="162" spans="1:11">
      <c r="A162" s="16" t="e">
        <f>VLOOKUP(E162,Table1[[#All],[Campo]],1,0)</f>
        <v>#N/A</v>
      </c>
      <c r="B162" s="14" t="s">
        <v>1802</v>
      </c>
      <c r="C162" s="14" t="s">
        <v>1803</v>
      </c>
      <c r="D162" s="14" t="s">
        <v>1730</v>
      </c>
      <c r="E162" s="14" t="s">
        <v>1519</v>
      </c>
      <c r="F162" s="14" t="s">
        <v>1731</v>
      </c>
      <c r="G162" s="14" t="s">
        <v>1732</v>
      </c>
      <c r="H162" s="14" t="s">
        <v>624</v>
      </c>
      <c r="I162" s="14">
        <v>3</v>
      </c>
      <c r="J162" s="14">
        <v>0</v>
      </c>
      <c r="K162" s="14">
        <v>0</v>
      </c>
    </row>
    <row r="163" spans="1:11">
      <c r="A163" s="16" t="e">
        <f>VLOOKUP(E163,Table1[[#All],[Campo]],1,0)</f>
        <v>#N/A</v>
      </c>
      <c r="B163" s="14" t="s">
        <v>1804</v>
      </c>
      <c r="C163" s="14" t="s">
        <v>1805</v>
      </c>
      <c r="D163" s="14" t="s">
        <v>1730</v>
      </c>
      <c r="E163" s="14" t="s">
        <v>1522</v>
      </c>
      <c r="F163" s="14" t="s">
        <v>1731</v>
      </c>
      <c r="G163" s="14" t="s">
        <v>1732</v>
      </c>
      <c r="H163" s="14" t="s">
        <v>624</v>
      </c>
      <c r="I163" s="14">
        <v>0</v>
      </c>
      <c r="J163" s="14">
        <v>0</v>
      </c>
      <c r="K163" s="14">
        <v>0</v>
      </c>
    </row>
    <row r="164" spans="1:11">
      <c r="A164" s="16" t="e">
        <f>VLOOKUP(E164,Table1[[#All],[Campo]],1,0)</f>
        <v>#N/A</v>
      </c>
      <c r="B164" s="14" t="s">
        <v>1806</v>
      </c>
      <c r="C164" s="14" t="s">
        <v>1807</v>
      </c>
      <c r="D164" s="14" t="s">
        <v>1730</v>
      </c>
      <c r="E164" s="14" t="s">
        <v>1522</v>
      </c>
      <c r="F164" s="14" t="s">
        <v>1731</v>
      </c>
      <c r="G164" s="14" t="s">
        <v>1732</v>
      </c>
      <c r="H164" s="14" t="s">
        <v>624</v>
      </c>
      <c r="I164" s="14">
        <v>3</v>
      </c>
      <c r="J164" s="14">
        <v>0</v>
      </c>
      <c r="K164" s="14">
        <v>0</v>
      </c>
    </row>
    <row r="165" spans="1:11">
      <c r="A165" s="16" t="str">
        <f>VLOOKUP(E165,Table1[[#All],[Campo]],1,0)</f>
        <v>accmltd_imprmnt_instrmnt</v>
      </c>
      <c r="B165" s="14" t="s">
        <v>1808</v>
      </c>
      <c r="C165" s="14" t="s">
        <v>1809</v>
      </c>
      <c r="D165" s="14" t="s">
        <v>1730</v>
      </c>
      <c r="E165" s="14" t="s">
        <v>1528</v>
      </c>
      <c r="F165" s="14" t="s">
        <v>1731</v>
      </c>
      <c r="G165" s="14" t="s">
        <v>1732</v>
      </c>
      <c r="H165" s="14" t="s">
        <v>624</v>
      </c>
      <c r="I165" s="14">
        <v>0</v>
      </c>
      <c r="J165" s="14">
        <v>0</v>
      </c>
      <c r="K165" s="14">
        <v>0</v>
      </c>
    </row>
    <row r="166" spans="1:11">
      <c r="A166" s="16" t="str">
        <f>VLOOKUP(E166,Table1[[#All],[Campo]],1,0)</f>
        <v>accmltd_imprmnt_instrmnt</v>
      </c>
      <c r="B166" s="14" t="s">
        <v>1810</v>
      </c>
      <c r="C166" s="14" t="s">
        <v>1811</v>
      </c>
      <c r="D166" s="14" t="s">
        <v>1730</v>
      </c>
      <c r="E166" s="14" t="s">
        <v>1528</v>
      </c>
      <c r="F166" s="14" t="s">
        <v>1731</v>
      </c>
      <c r="G166" s="14" t="s">
        <v>1732</v>
      </c>
      <c r="H166" s="14" t="s">
        <v>624</v>
      </c>
      <c r="I166" s="14">
        <v>277512</v>
      </c>
      <c r="J166" s="14">
        <v>0</v>
      </c>
      <c r="K166" s="14">
        <v>0</v>
      </c>
    </row>
    <row r="167" spans="1:11">
      <c r="A167" s="16" t="str">
        <f>VLOOKUP(E167,Table1[[#All],[Campo]],1,0)</f>
        <v>accmltd_imprmnt_instrmnt</v>
      </c>
      <c r="B167" s="14" t="s">
        <v>1812</v>
      </c>
      <c r="C167" s="14" t="s">
        <v>1813</v>
      </c>
      <c r="D167" s="14" t="s">
        <v>1730</v>
      </c>
      <c r="E167" s="14" t="s">
        <v>1528</v>
      </c>
      <c r="F167" s="14" t="s">
        <v>1731</v>
      </c>
      <c r="G167" s="14" t="s">
        <v>1732</v>
      </c>
      <c r="H167" s="14" t="s">
        <v>624</v>
      </c>
      <c r="I167" s="14">
        <v>3</v>
      </c>
      <c r="J167" s="14">
        <v>0</v>
      </c>
      <c r="K167" s="14">
        <v>0</v>
      </c>
    </row>
    <row r="168" spans="1:11">
      <c r="A168" s="16" t="str">
        <f>VLOOKUP(E168,Table1[[#All],[Campo]],1,0)</f>
        <v>sstnbl_indctr</v>
      </c>
      <c r="B168" s="14" t="s">
        <v>1814</v>
      </c>
      <c r="C168" s="14" t="s">
        <v>1815</v>
      </c>
      <c r="D168" s="14" t="s">
        <v>1730</v>
      </c>
      <c r="E168" s="14" t="s">
        <v>1434</v>
      </c>
      <c r="F168" s="14" t="s">
        <v>1731</v>
      </c>
      <c r="G168" s="14" t="s">
        <v>1732</v>
      </c>
      <c r="H168" s="14" t="s">
        <v>624</v>
      </c>
      <c r="I168" s="14">
        <v>0</v>
      </c>
      <c r="J168" s="14">
        <v>0</v>
      </c>
      <c r="K168" s="14">
        <v>0</v>
      </c>
    </row>
    <row r="169" spans="1:11">
      <c r="A169" s="16" t="str">
        <f>VLOOKUP(E169,Table1[[#All],[Campo]],1,0)</f>
        <v>sstnbl_indctr</v>
      </c>
      <c r="B169" s="14" t="s">
        <v>1816</v>
      </c>
      <c r="C169" s="14" t="s">
        <v>1817</v>
      </c>
      <c r="D169" s="14" t="s">
        <v>1730</v>
      </c>
      <c r="E169" s="14" t="s">
        <v>1434</v>
      </c>
      <c r="F169" s="14" t="s">
        <v>1731</v>
      </c>
      <c r="G169" s="14" t="s">
        <v>1732</v>
      </c>
      <c r="H169" s="14" t="s">
        <v>624</v>
      </c>
      <c r="I169" s="14">
        <v>0</v>
      </c>
      <c r="J169" s="14">
        <v>0</v>
      </c>
      <c r="K169" s="14">
        <v>0</v>
      </c>
    </row>
    <row r="170" spans="1:11">
      <c r="A170" s="16" t="str">
        <f>VLOOKUP(E170,Table1[[#All],[Campo]],1,0)</f>
        <v>sstnbl_ctgry</v>
      </c>
      <c r="B170" s="14" t="s">
        <v>1818</v>
      </c>
      <c r="C170" s="14" t="s">
        <v>1819</v>
      </c>
      <c r="D170" s="14" t="s">
        <v>1735</v>
      </c>
      <c r="E170" s="14" t="s">
        <v>1438</v>
      </c>
      <c r="F170" s="14" t="s">
        <v>1731</v>
      </c>
      <c r="G170" s="14" t="s">
        <v>1732</v>
      </c>
      <c r="H170" s="14" t="s">
        <v>624</v>
      </c>
      <c r="I170" s="14">
        <v>0</v>
      </c>
      <c r="J170" s="14">
        <v>0</v>
      </c>
      <c r="K170" s="14">
        <v>0</v>
      </c>
    </row>
    <row r="171" spans="1:11">
      <c r="A171" s="16" t="str">
        <f>VLOOKUP(E171,Table1[[#All],[Campo]],1,0)</f>
        <v>sstnbl_ctgry</v>
      </c>
      <c r="B171" s="14" t="s">
        <v>1820</v>
      </c>
      <c r="C171" s="14" t="s">
        <v>1821</v>
      </c>
      <c r="D171" s="14" t="s">
        <v>1735</v>
      </c>
      <c r="E171" s="14" t="s">
        <v>1438</v>
      </c>
      <c r="F171" s="14" t="s">
        <v>1731</v>
      </c>
      <c r="G171" s="14" t="s">
        <v>1732</v>
      </c>
      <c r="H171" s="14" t="s">
        <v>624</v>
      </c>
      <c r="I171" s="14">
        <v>0</v>
      </c>
      <c r="J171" s="14">
        <v>0</v>
      </c>
      <c r="K171" s="14">
        <v>0</v>
      </c>
    </row>
    <row r="172" spans="1:11">
      <c r="A172" s="16" t="str">
        <f>VLOOKUP(E172,Table1[[#All],[Campo]],1,0)</f>
        <v>sstnbl_ctgry</v>
      </c>
      <c r="B172" s="14" t="s">
        <v>1822</v>
      </c>
      <c r="C172" s="14" t="s">
        <v>1823</v>
      </c>
      <c r="D172" s="14" t="s">
        <v>1735</v>
      </c>
      <c r="E172" s="14" t="s">
        <v>1438</v>
      </c>
      <c r="F172" s="14" t="s">
        <v>1731</v>
      </c>
      <c r="G172" s="14" t="s">
        <v>1732</v>
      </c>
      <c r="H172" s="14" t="s">
        <v>624</v>
      </c>
      <c r="I172" s="14">
        <v>0</v>
      </c>
      <c r="J172" s="14">
        <v>0</v>
      </c>
      <c r="K172" s="14">
        <v>0</v>
      </c>
    </row>
    <row r="173" spans="1:11">
      <c r="A173" s="16" t="str">
        <f>VLOOKUP(E173,Table1[[#All],[Campo]],1,0)</f>
        <v>sstnbl_ctgry</v>
      </c>
      <c r="B173" s="14" t="s">
        <v>1824</v>
      </c>
      <c r="C173" s="14" t="s">
        <v>1825</v>
      </c>
      <c r="D173" s="14" t="s">
        <v>1735</v>
      </c>
      <c r="E173" s="14" t="s">
        <v>1438</v>
      </c>
      <c r="F173" s="14" t="s">
        <v>1731</v>
      </c>
      <c r="G173" s="14" t="s">
        <v>1732</v>
      </c>
      <c r="H173" s="14" t="s">
        <v>624</v>
      </c>
      <c r="I173" s="14">
        <v>0</v>
      </c>
      <c r="J173" s="14">
        <v>0</v>
      </c>
      <c r="K173" s="14">
        <v>0</v>
      </c>
    </row>
    <row r="174" spans="1:11">
      <c r="A174" s="16" t="str">
        <f>VLOOKUP(E174,Table1[[#All],[Campo]],1,0)</f>
        <v>sstnbl_ctgry</v>
      </c>
      <c r="B174" s="14" t="s">
        <v>1826</v>
      </c>
      <c r="C174" s="14" t="s">
        <v>1827</v>
      </c>
      <c r="D174" s="14" t="s">
        <v>1735</v>
      </c>
      <c r="E174" s="14" t="s">
        <v>1438</v>
      </c>
      <c r="F174" s="14" t="s">
        <v>1731</v>
      </c>
      <c r="G174" s="14" t="s">
        <v>1732</v>
      </c>
      <c r="H174" s="14" t="s">
        <v>624</v>
      </c>
      <c r="I174" s="14">
        <v>0</v>
      </c>
      <c r="J174" s="14">
        <v>0</v>
      </c>
      <c r="K174" s="14">
        <v>0</v>
      </c>
    </row>
    <row r="175" spans="1:11">
      <c r="A175" s="16" t="str">
        <f>VLOOKUP(E175,Table1[[#All],[Campo]],1,0)</f>
        <v>sstnbl_ctgry</v>
      </c>
      <c r="B175" s="14" t="s">
        <v>1828</v>
      </c>
      <c r="C175" s="14" t="s">
        <v>1829</v>
      </c>
      <c r="D175" s="14" t="s">
        <v>1735</v>
      </c>
      <c r="E175" s="14" t="s">
        <v>1438</v>
      </c>
      <c r="F175" s="14" t="s">
        <v>1731</v>
      </c>
      <c r="G175" s="14" t="s">
        <v>1732</v>
      </c>
      <c r="H175" s="14" t="s">
        <v>624</v>
      </c>
      <c r="I175" s="14">
        <v>0</v>
      </c>
      <c r="J175" s="14">
        <v>0</v>
      </c>
      <c r="K175" s="14">
        <v>0</v>
      </c>
    </row>
    <row r="176" spans="1:11">
      <c r="A176" s="16" t="str">
        <f>VLOOKUP(E176,Table1[[#All],[Campo]],1,0)</f>
        <v>sstnbl_ctgry</v>
      </c>
      <c r="B176" s="14" t="s">
        <v>1830</v>
      </c>
      <c r="C176" s="14" t="s">
        <v>1831</v>
      </c>
      <c r="D176" s="14" t="s">
        <v>1735</v>
      </c>
      <c r="E176" s="14" t="s">
        <v>1438</v>
      </c>
      <c r="F176" s="14" t="s">
        <v>1731</v>
      </c>
      <c r="G176" s="14" t="s">
        <v>1732</v>
      </c>
      <c r="H176" s="14" t="s">
        <v>624</v>
      </c>
      <c r="I176" s="14">
        <v>0</v>
      </c>
      <c r="J176" s="14">
        <v>0</v>
      </c>
      <c r="K176" s="14">
        <v>0</v>
      </c>
    </row>
    <row r="177" spans="1:11">
      <c r="A177" s="16" t="str">
        <f>VLOOKUP(E177,Table1[[#All],[Campo]],1,0)</f>
        <v>sstnbl_ctgry</v>
      </c>
      <c r="B177" s="14" t="s">
        <v>1832</v>
      </c>
      <c r="C177" s="14" t="s">
        <v>1833</v>
      </c>
      <c r="D177" s="14" t="s">
        <v>1735</v>
      </c>
      <c r="E177" s="14" t="s">
        <v>1438</v>
      </c>
      <c r="F177" s="14" t="s">
        <v>1731</v>
      </c>
      <c r="G177" s="14" t="s">
        <v>1732</v>
      </c>
      <c r="H177" s="14" t="s">
        <v>624</v>
      </c>
      <c r="I177" s="14">
        <v>0</v>
      </c>
      <c r="J177" s="14">
        <v>0</v>
      </c>
      <c r="K177" s="14">
        <v>0</v>
      </c>
    </row>
    <row r="178" spans="1:11">
      <c r="A178" s="16" t="str">
        <f>VLOOKUP(E178,Table1[[#All],[Campo]],1,0)</f>
        <v>sstnbl_ctgry</v>
      </c>
      <c r="B178" s="14" t="s">
        <v>1834</v>
      </c>
      <c r="C178" s="14" t="s">
        <v>1835</v>
      </c>
      <c r="D178" s="14" t="s">
        <v>1735</v>
      </c>
      <c r="E178" s="14" t="s">
        <v>1438</v>
      </c>
      <c r="F178" s="14" t="s">
        <v>1731</v>
      </c>
      <c r="G178" s="14" t="s">
        <v>1732</v>
      </c>
      <c r="H178" s="14" t="s">
        <v>624</v>
      </c>
      <c r="I178" s="14">
        <v>0</v>
      </c>
      <c r="J178" s="14">
        <v>0</v>
      </c>
      <c r="K178" s="14">
        <v>0</v>
      </c>
    </row>
    <row r="179" spans="1:11">
      <c r="A179" s="16" t="str">
        <f>VLOOKUP(E179,Table1[[#All],[Campo]],1,0)</f>
        <v>sstnbl_ctgry</v>
      </c>
      <c r="B179" s="14" t="s">
        <v>1836</v>
      </c>
      <c r="C179" s="14" t="s">
        <v>1837</v>
      </c>
      <c r="D179" s="14" t="s">
        <v>1735</v>
      </c>
      <c r="E179" s="14" t="s">
        <v>1438</v>
      </c>
      <c r="F179" s="14" t="s">
        <v>1731</v>
      </c>
      <c r="G179" s="14" t="s">
        <v>1732</v>
      </c>
      <c r="H179" s="14" t="s">
        <v>624</v>
      </c>
      <c r="I179" s="14">
        <v>0</v>
      </c>
      <c r="J179" s="14">
        <v>0</v>
      </c>
      <c r="K179" s="14">
        <v>0</v>
      </c>
    </row>
    <row r="180" spans="1:11">
      <c r="A180" s="16" t="str">
        <f>VLOOKUP(E180,Table1[[#All],[Campo]],1,0)</f>
        <v>sstnbl_ctgry</v>
      </c>
      <c r="B180" s="14" t="s">
        <v>1838</v>
      </c>
      <c r="C180" s="14" t="s">
        <v>1839</v>
      </c>
      <c r="D180" s="14" t="s">
        <v>1735</v>
      </c>
      <c r="E180" s="14" t="s">
        <v>1438</v>
      </c>
      <c r="F180" s="14" t="s">
        <v>1731</v>
      </c>
      <c r="G180" s="14" t="s">
        <v>1732</v>
      </c>
      <c r="H180" s="14" t="s">
        <v>624</v>
      </c>
      <c r="I180" s="14">
        <v>0</v>
      </c>
      <c r="J180" s="14">
        <v>0</v>
      </c>
      <c r="K180" s="14">
        <v>0</v>
      </c>
    </row>
    <row r="181" spans="1:11">
      <c r="A181" s="16" t="str">
        <f>VLOOKUP(E181,Table1[[#All],[Campo]],1,0)</f>
        <v>sstnbl_ctgry</v>
      </c>
      <c r="B181" s="14" t="s">
        <v>1840</v>
      </c>
      <c r="C181" s="14" t="s">
        <v>1841</v>
      </c>
      <c r="D181" s="14" t="s">
        <v>1735</v>
      </c>
      <c r="E181" s="14" t="s">
        <v>1438</v>
      </c>
      <c r="F181" s="14" t="s">
        <v>1731</v>
      </c>
      <c r="G181" s="14" t="s">
        <v>1732</v>
      </c>
      <c r="H181" s="14" t="s">
        <v>624</v>
      </c>
      <c r="I181" s="14">
        <v>0</v>
      </c>
      <c r="J181" s="14">
        <v>0</v>
      </c>
      <c r="K181" s="14">
        <v>0</v>
      </c>
    </row>
    <row r="182" spans="1:11">
      <c r="A182" s="16" t="str">
        <f>VLOOKUP(E182,Table1[[#All],[Campo]],1,0)</f>
        <v>sstnbl_ctgry</v>
      </c>
      <c r="B182" s="14" t="s">
        <v>1842</v>
      </c>
      <c r="C182" s="14" t="s">
        <v>1843</v>
      </c>
      <c r="D182" s="14" t="s">
        <v>1735</v>
      </c>
      <c r="E182" s="14" t="s">
        <v>1438</v>
      </c>
      <c r="F182" s="14" t="s">
        <v>1731</v>
      </c>
      <c r="G182" s="14" t="s">
        <v>1732</v>
      </c>
      <c r="H182" s="14" t="s">
        <v>624</v>
      </c>
      <c r="I182" s="14">
        <v>0</v>
      </c>
      <c r="J182" s="14">
        <v>0</v>
      </c>
      <c r="K182" s="14">
        <v>0</v>
      </c>
    </row>
    <row r="183" spans="1:11">
      <c r="A183" s="16" t="str">
        <f>VLOOKUP(E183,Table1[[#All],[Campo]],1,0)</f>
        <v>sstnbl_ctgry</v>
      </c>
      <c r="B183" s="14" t="s">
        <v>1844</v>
      </c>
      <c r="C183" s="14" t="s">
        <v>1845</v>
      </c>
      <c r="D183" s="14" t="s">
        <v>1735</v>
      </c>
      <c r="E183" s="14" t="s">
        <v>1438</v>
      </c>
      <c r="F183" s="14" t="s">
        <v>1731</v>
      </c>
      <c r="G183" s="14" t="s">
        <v>1732</v>
      </c>
      <c r="H183" s="14" t="s">
        <v>624</v>
      </c>
      <c r="I183" s="14">
        <v>0</v>
      </c>
      <c r="J183" s="14">
        <v>0</v>
      </c>
      <c r="K183" s="14">
        <v>0</v>
      </c>
    </row>
    <row r="184" spans="1:11">
      <c r="A184" s="16" t="str">
        <f>VLOOKUP(E184,Table1[[#All],[Campo]],1,0)</f>
        <v>grss_intrst_incm</v>
      </c>
      <c r="B184" s="14" t="s">
        <v>1846</v>
      </c>
      <c r="C184" s="14" t="s">
        <v>1847</v>
      </c>
      <c r="D184" s="14" t="s">
        <v>1730</v>
      </c>
      <c r="E184" s="14" t="s">
        <v>1545</v>
      </c>
      <c r="F184" s="14" t="s">
        <v>1731</v>
      </c>
      <c r="G184" s="14" t="s">
        <v>1732</v>
      </c>
      <c r="H184" s="14" t="s">
        <v>624</v>
      </c>
      <c r="I184" s="14">
        <v>0</v>
      </c>
      <c r="J184" s="14">
        <v>0</v>
      </c>
      <c r="K184" s="14">
        <v>0</v>
      </c>
    </row>
    <row r="185" spans="1:11">
      <c r="A185" s="16" t="str">
        <f>VLOOKUP(E185,Table1[[#All],[Campo]],1,0)</f>
        <v>grss_intrst_incm</v>
      </c>
      <c r="B185" s="14" t="s">
        <v>1848</v>
      </c>
      <c r="C185" s="14" t="s">
        <v>1849</v>
      </c>
      <c r="D185" s="14" t="s">
        <v>1730</v>
      </c>
      <c r="E185" s="14" t="s">
        <v>1545</v>
      </c>
      <c r="F185" s="14" t="s">
        <v>1731</v>
      </c>
      <c r="G185" s="14" t="s">
        <v>1732</v>
      </c>
      <c r="H185" s="14" t="s">
        <v>624</v>
      </c>
      <c r="I185" s="14">
        <v>0</v>
      </c>
      <c r="J185" s="14">
        <v>0</v>
      </c>
      <c r="K185" s="14">
        <v>0</v>
      </c>
    </row>
    <row r="186" spans="1:11">
      <c r="A186" s="16" t="s">
        <v>1546</v>
      </c>
      <c r="B186" s="14" t="s">
        <v>1850</v>
      </c>
      <c r="C186" s="14" t="s">
        <v>1851</v>
      </c>
      <c r="D186" s="14" t="s">
        <v>1730</v>
      </c>
      <c r="E186" s="14" t="s">
        <v>1549</v>
      </c>
      <c r="F186" s="14" t="s">
        <v>1731</v>
      </c>
      <c r="G186" s="14" t="s">
        <v>1732</v>
      </c>
      <c r="H186" s="14" t="s">
        <v>624</v>
      </c>
      <c r="I186" s="14">
        <v>0</v>
      </c>
      <c r="J186" s="14">
        <v>0</v>
      </c>
      <c r="K186" s="14">
        <v>0</v>
      </c>
    </row>
    <row r="187" spans="1:11">
      <c r="A187" s="16" t="s">
        <v>1546</v>
      </c>
      <c r="B187" s="14" t="s">
        <v>1852</v>
      </c>
      <c r="C187" s="14" t="s">
        <v>1853</v>
      </c>
      <c r="D187" s="14" t="s">
        <v>1730</v>
      </c>
      <c r="E187" s="14" t="s">
        <v>1549</v>
      </c>
      <c r="F187" s="14" t="s">
        <v>1731</v>
      </c>
      <c r="G187" s="14" t="s">
        <v>1732</v>
      </c>
      <c r="H187" s="14" t="s">
        <v>624</v>
      </c>
      <c r="I187" s="14">
        <v>0</v>
      </c>
      <c r="J187" s="14">
        <v>0</v>
      </c>
      <c r="K187" s="14">
        <v>0</v>
      </c>
    </row>
    <row r="188" spans="1:11">
      <c r="A188" s="16" t="e">
        <f>VLOOKUP(E188,Table1[[#All],[Campo]],1,0)</f>
        <v>#N/A</v>
      </c>
      <c r="B188" s="14" t="s">
        <v>1854</v>
      </c>
      <c r="C188" s="14" t="s">
        <v>1855</v>
      </c>
      <c r="D188" s="14" t="s">
        <v>1730</v>
      </c>
      <c r="E188" s="14" t="s">
        <v>1560</v>
      </c>
      <c r="F188" s="14" t="s">
        <v>1731</v>
      </c>
      <c r="G188" s="14" t="s">
        <v>1732</v>
      </c>
      <c r="H188" s="14" t="s">
        <v>624</v>
      </c>
      <c r="I188" s="14">
        <v>0</v>
      </c>
      <c r="J188" s="14">
        <v>0</v>
      </c>
      <c r="K188" s="14">
        <v>0</v>
      </c>
    </row>
    <row r="189" spans="1:11">
      <c r="A189" s="16" t="e">
        <f>VLOOKUP(E189,Table1[[#All],[Campo]],1,0)</f>
        <v>#N/A</v>
      </c>
      <c r="B189" s="14" t="s">
        <v>1856</v>
      </c>
      <c r="C189" s="14" t="s">
        <v>1857</v>
      </c>
      <c r="D189" s="14" t="s">
        <v>1730</v>
      </c>
      <c r="E189" s="14" t="s">
        <v>1560</v>
      </c>
      <c r="F189" s="14" t="s">
        <v>1731</v>
      </c>
      <c r="G189" s="14" t="s">
        <v>1732</v>
      </c>
      <c r="H189" s="14" t="s">
        <v>624</v>
      </c>
      <c r="I189" s="14">
        <v>277518</v>
      </c>
      <c r="J189" s="14">
        <v>0</v>
      </c>
      <c r="K189" s="14">
        <v>0</v>
      </c>
    </row>
    <row r="190" spans="1:11">
      <c r="A190" s="16" t="e">
        <f>VLOOKUP(E190,Table1[[#All],[Campo]],1,0)</f>
        <v>#N/A</v>
      </c>
      <c r="B190" s="14" t="s">
        <v>1858</v>
      </c>
      <c r="C190" s="14" t="s">
        <v>1859</v>
      </c>
      <c r="D190" s="14" t="s">
        <v>1730</v>
      </c>
      <c r="E190" s="14" t="s">
        <v>1560</v>
      </c>
      <c r="F190" s="14" t="s">
        <v>1731</v>
      </c>
      <c r="G190" s="14" t="s">
        <v>1732</v>
      </c>
      <c r="H190" s="14" t="s">
        <v>624</v>
      </c>
      <c r="I190" s="14">
        <v>1724892</v>
      </c>
      <c r="J190" s="14">
        <v>0</v>
      </c>
      <c r="K190" s="14">
        <v>0</v>
      </c>
    </row>
    <row r="191" spans="1:11">
      <c r="A191" s="16" t="s">
        <v>1561</v>
      </c>
      <c r="B191" s="14" t="s">
        <v>1860</v>
      </c>
      <c r="C191" s="14" t="s">
        <v>1861</v>
      </c>
      <c r="D191" s="14" t="s">
        <v>1730</v>
      </c>
      <c r="E191" s="14" t="s">
        <v>1564</v>
      </c>
      <c r="F191" s="14" t="s">
        <v>1731</v>
      </c>
      <c r="G191" s="14" t="s">
        <v>1732</v>
      </c>
      <c r="H191" s="14" t="s">
        <v>624</v>
      </c>
      <c r="I191" s="14">
        <v>0</v>
      </c>
      <c r="J191" s="14">
        <v>0</v>
      </c>
      <c r="K191" s="14">
        <v>0</v>
      </c>
    </row>
    <row r="192" spans="1:11">
      <c r="A192" s="16" t="s">
        <v>1561</v>
      </c>
      <c r="B192" s="14" t="s">
        <v>1862</v>
      </c>
      <c r="C192" s="14" t="s">
        <v>1863</v>
      </c>
      <c r="D192" s="14" t="s">
        <v>1730</v>
      </c>
      <c r="E192" s="14" t="s">
        <v>1564</v>
      </c>
      <c r="F192" s="14" t="s">
        <v>1731</v>
      </c>
      <c r="G192" s="14" t="s">
        <v>1732</v>
      </c>
      <c r="H192" s="14" t="s">
        <v>624</v>
      </c>
      <c r="I192" s="14">
        <v>0</v>
      </c>
      <c r="J192" s="14">
        <v>0</v>
      </c>
      <c r="K192" s="14">
        <v>0</v>
      </c>
    </row>
    <row r="193" spans="1:11">
      <c r="A193" s="16" t="e">
        <f>VLOOKUP(E193,Table1[[#All],[Campo]],1,0)</f>
        <v>#N/A</v>
      </c>
      <c r="B193" s="14" t="s">
        <v>1864</v>
      </c>
      <c r="C193" s="14" t="s">
        <v>1865</v>
      </c>
      <c r="D193" s="14" t="s">
        <v>1730</v>
      </c>
      <c r="E193" s="14" t="s">
        <v>1567</v>
      </c>
      <c r="F193" s="14" t="s">
        <v>1731</v>
      </c>
      <c r="G193" s="14" t="s">
        <v>1732</v>
      </c>
      <c r="H193" s="14" t="s">
        <v>624</v>
      </c>
      <c r="I193" s="14">
        <v>0</v>
      </c>
      <c r="J193" s="14">
        <v>0</v>
      </c>
      <c r="K193" s="14">
        <v>0</v>
      </c>
    </row>
    <row r="194" spans="1:11">
      <c r="A194" s="16" t="e">
        <f>VLOOKUP(E194,Table1[[#All],[Campo]],1,0)</f>
        <v>#N/A</v>
      </c>
      <c r="B194" s="14" t="s">
        <v>1866</v>
      </c>
      <c r="C194" s="14" t="s">
        <v>1867</v>
      </c>
      <c r="D194" s="14" t="s">
        <v>1730</v>
      </c>
      <c r="E194" s="14" t="s">
        <v>1567</v>
      </c>
      <c r="F194" s="14" t="s">
        <v>1731</v>
      </c>
      <c r="G194" s="14" t="s">
        <v>1732</v>
      </c>
      <c r="H194" s="14" t="s">
        <v>624</v>
      </c>
      <c r="I194" s="14">
        <v>0</v>
      </c>
      <c r="J194" s="14">
        <v>0</v>
      </c>
      <c r="K194" s="14">
        <v>0</v>
      </c>
    </row>
    <row r="195" spans="1:11">
      <c r="A195" s="16" t="e">
        <f>VLOOKUP(E195,Table1[[#All],[Campo]],1,0)</f>
        <v>#N/A</v>
      </c>
      <c r="B195" s="14" t="s">
        <v>1868</v>
      </c>
      <c r="C195" s="14" t="s">
        <v>1869</v>
      </c>
      <c r="D195" s="14" t="s">
        <v>1730</v>
      </c>
      <c r="E195" s="14" t="s">
        <v>1572</v>
      </c>
      <c r="F195" s="14" t="s">
        <v>1731</v>
      </c>
      <c r="G195" s="14" t="s">
        <v>1732</v>
      </c>
      <c r="H195" s="14" t="s">
        <v>624</v>
      </c>
      <c r="I195" s="14">
        <v>0</v>
      </c>
      <c r="J195" s="14">
        <v>0</v>
      </c>
      <c r="K195" s="14">
        <v>0</v>
      </c>
    </row>
    <row r="196" spans="1:11">
      <c r="A196" s="16" t="e">
        <f>VLOOKUP(E196,Table1[[#All],[Campo]],1,0)</f>
        <v>#N/A</v>
      </c>
      <c r="B196" s="14" t="s">
        <v>1870</v>
      </c>
      <c r="C196" s="14" t="s">
        <v>1871</v>
      </c>
      <c r="D196" s="14" t="s">
        <v>1730</v>
      </c>
      <c r="E196" s="14" t="s">
        <v>1572</v>
      </c>
      <c r="F196" s="14" t="s">
        <v>1731</v>
      </c>
      <c r="G196" s="14" t="s">
        <v>1732</v>
      </c>
      <c r="H196" s="14" t="s">
        <v>624</v>
      </c>
      <c r="I196" s="14">
        <v>0</v>
      </c>
      <c r="J196" s="14">
        <v>0</v>
      </c>
      <c r="K196" s="14">
        <v>0</v>
      </c>
    </row>
    <row r="197" spans="1:11">
      <c r="A197" s="16" t="e">
        <f>VLOOKUP(E197,Table1[[#All],[Campo]],1,0)</f>
        <v>#N/A</v>
      </c>
      <c r="B197" s="14" t="s">
        <v>1872</v>
      </c>
      <c r="C197" s="14" t="s">
        <v>1873</v>
      </c>
      <c r="D197" s="14" t="s">
        <v>1730</v>
      </c>
      <c r="E197" s="14" t="s">
        <v>1575</v>
      </c>
      <c r="F197" s="14" t="s">
        <v>1731</v>
      </c>
      <c r="G197" s="14" t="s">
        <v>1732</v>
      </c>
      <c r="H197" s="14" t="s">
        <v>624</v>
      </c>
      <c r="I197" s="14">
        <v>0</v>
      </c>
      <c r="J197" s="14">
        <v>0</v>
      </c>
      <c r="K197" s="14">
        <v>0</v>
      </c>
    </row>
    <row r="198" spans="1:11">
      <c r="A198" s="16" t="e">
        <f>VLOOKUP(E198,Table1[[#All],[Campo]],1,0)</f>
        <v>#N/A</v>
      </c>
      <c r="B198" s="14" t="s">
        <v>1874</v>
      </c>
      <c r="C198" s="14" t="s">
        <v>1875</v>
      </c>
      <c r="D198" s="14" t="s">
        <v>1730</v>
      </c>
      <c r="E198" s="14" t="s">
        <v>1575</v>
      </c>
      <c r="F198" s="14" t="s">
        <v>1731</v>
      </c>
      <c r="G198" s="14" t="s">
        <v>1732</v>
      </c>
      <c r="H198" s="14" t="s">
        <v>624</v>
      </c>
      <c r="I198" s="14">
        <v>0</v>
      </c>
      <c r="J198" s="14">
        <v>0</v>
      </c>
      <c r="K198" s="14">
        <v>0</v>
      </c>
    </row>
    <row r="199" spans="1:11">
      <c r="A199" s="16" t="e">
        <f>VLOOKUP(E199,Table1[[#All],[Campo]],1,0)</f>
        <v>#N/A</v>
      </c>
      <c r="B199" s="14" t="s">
        <v>1876</v>
      </c>
      <c r="C199" s="14" t="s">
        <v>1877</v>
      </c>
      <c r="D199" s="14" t="s">
        <v>1730</v>
      </c>
      <c r="E199" s="14" t="s">
        <v>1578</v>
      </c>
      <c r="F199" s="14" t="s">
        <v>1731</v>
      </c>
      <c r="G199" s="14" t="s">
        <v>1732</v>
      </c>
      <c r="H199" s="14" t="s">
        <v>624</v>
      </c>
      <c r="I199" s="14">
        <v>0</v>
      </c>
      <c r="J199" s="14">
        <v>0</v>
      </c>
      <c r="K199" s="14">
        <v>0</v>
      </c>
    </row>
    <row r="200" spans="1:11">
      <c r="A200" s="16" t="e">
        <f>VLOOKUP(E200,Table1[[#All],[Campo]],1,0)</f>
        <v>#N/A</v>
      </c>
      <c r="B200" s="14" t="s">
        <v>1878</v>
      </c>
      <c r="C200" s="14" t="s">
        <v>1879</v>
      </c>
      <c r="D200" s="14" t="s">
        <v>1730</v>
      </c>
      <c r="E200" s="14" t="s">
        <v>1578</v>
      </c>
      <c r="F200" s="14" t="s">
        <v>1731</v>
      </c>
      <c r="G200" s="14" t="s">
        <v>1732</v>
      </c>
      <c r="H200" s="14" t="s">
        <v>624</v>
      </c>
      <c r="I200" s="14">
        <v>0</v>
      </c>
      <c r="J200" s="14">
        <v>0</v>
      </c>
      <c r="K200" s="14">
        <v>0</v>
      </c>
    </row>
    <row r="201" spans="1:11">
      <c r="A201" s="16" t="e">
        <f>VLOOKUP(E201,Table1[[#All],[Campo]],1,0)</f>
        <v>#N/A</v>
      </c>
      <c r="B201" s="14" t="s">
        <v>1880</v>
      </c>
      <c r="C201" s="14" t="s">
        <v>1881</v>
      </c>
      <c r="D201" s="14" t="s">
        <v>1730</v>
      </c>
      <c r="E201" s="14" t="s">
        <v>1578</v>
      </c>
      <c r="F201" s="14" t="s">
        <v>1731</v>
      </c>
      <c r="G201" s="14" t="s">
        <v>1732</v>
      </c>
      <c r="H201" s="14" t="s">
        <v>624</v>
      </c>
      <c r="I201" s="14">
        <v>0</v>
      </c>
      <c r="J201" s="14">
        <v>0</v>
      </c>
      <c r="K201" s="14">
        <v>0</v>
      </c>
    </row>
    <row r="202" spans="1:11">
      <c r="A202" s="16" t="e">
        <f>VLOOKUP(E202,Table1[[#All],[Campo]],1,0)</f>
        <v>#N/A</v>
      </c>
      <c r="B202" s="14" t="s">
        <v>1882</v>
      </c>
      <c r="C202" s="14" t="s">
        <v>1883</v>
      </c>
      <c r="D202" s="14" t="s">
        <v>1730</v>
      </c>
      <c r="E202" s="14" t="s">
        <v>1581</v>
      </c>
      <c r="F202" s="14" t="s">
        <v>1731</v>
      </c>
      <c r="G202" s="14" t="s">
        <v>1732</v>
      </c>
      <c r="H202" s="14" t="s">
        <v>624</v>
      </c>
      <c r="I202" s="14">
        <v>0</v>
      </c>
      <c r="J202" s="14">
        <v>0</v>
      </c>
      <c r="K202" s="14">
        <v>0</v>
      </c>
    </row>
    <row r="203" spans="1:11">
      <c r="A203" s="16" t="e">
        <f>VLOOKUP(E203,Table1[[#All],[Campo]],1,0)</f>
        <v>#N/A</v>
      </c>
      <c r="B203" s="14" t="s">
        <v>1884</v>
      </c>
      <c r="C203" s="14" t="s">
        <v>1885</v>
      </c>
      <c r="D203" s="14" t="s">
        <v>1730</v>
      </c>
      <c r="E203" s="14" t="s">
        <v>1584</v>
      </c>
      <c r="F203" s="14" t="s">
        <v>1731</v>
      </c>
      <c r="G203" s="14" t="s">
        <v>1732</v>
      </c>
      <c r="H203" s="14" t="s">
        <v>624</v>
      </c>
      <c r="I203" s="14">
        <v>0</v>
      </c>
      <c r="J203" s="14">
        <v>0</v>
      </c>
      <c r="K203" s="14">
        <v>0</v>
      </c>
    </row>
    <row r="204" spans="1:11">
      <c r="A204" s="16" t="s">
        <v>1585</v>
      </c>
      <c r="B204" s="14" t="s">
        <v>1886</v>
      </c>
      <c r="C204" s="14" t="s">
        <v>1887</v>
      </c>
      <c r="D204" s="14" t="s">
        <v>1730</v>
      </c>
      <c r="E204" s="14" t="s">
        <v>1588</v>
      </c>
      <c r="F204" s="14" t="s">
        <v>1731</v>
      </c>
      <c r="G204" s="14" t="s">
        <v>1732</v>
      </c>
      <c r="H204" s="14" t="s">
        <v>624</v>
      </c>
      <c r="I204" s="14">
        <v>0</v>
      </c>
      <c r="J204" s="14">
        <v>0</v>
      </c>
      <c r="K204" s="14">
        <v>0</v>
      </c>
    </row>
    <row r="205" spans="1:11">
      <c r="A205" s="16" t="s">
        <v>1585</v>
      </c>
      <c r="B205" s="14" t="s">
        <v>1888</v>
      </c>
      <c r="C205" s="14" t="s">
        <v>1889</v>
      </c>
      <c r="D205" s="14" t="s">
        <v>1730</v>
      </c>
      <c r="E205" s="14" t="s">
        <v>1588</v>
      </c>
      <c r="F205" s="14" t="s">
        <v>1731</v>
      </c>
      <c r="G205" s="14" t="s">
        <v>1732</v>
      </c>
      <c r="H205" s="14" t="s">
        <v>624</v>
      </c>
      <c r="I205" s="14">
        <v>0</v>
      </c>
      <c r="J205" s="14">
        <v>0</v>
      </c>
      <c r="K205" s="14">
        <v>0</v>
      </c>
    </row>
    <row r="206" spans="1:11">
      <c r="A206" s="16" t="s">
        <v>1585</v>
      </c>
      <c r="B206" s="14" t="s">
        <v>1890</v>
      </c>
      <c r="C206" s="14" t="s">
        <v>1891</v>
      </c>
      <c r="D206" s="14" t="s">
        <v>1730</v>
      </c>
      <c r="E206" s="14" t="s">
        <v>1588</v>
      </c>
      <c r="F206" s="14" t="s">
        <v>1731</v>
      </c>
      <c r="G206" s="14" t="s">
        <v>1732</v>
      </c>
      <c r="H206" s="14" t="s">
        <v>624</v>
      </c>
      <c r="I206" s="14">
        <v>0</v>
      </c>
      <c r="J206" s="14">
        <v>0</v>
      </c>
      <c r="K206" s="14">
        <v>0</v>
      </c>
    </row>
    <row r="207" spans="1:11">
      <c r="A207" s="16" t="s">
        <v>1589</v>
      </c>
      <c r="B207" s="14" t="s">
        <v>1892</v>
      </c>
      <c r="C207" s="14" t="s">
        <v>1893</v>
      </c>
      <c r="D207" s="14" t="s">
        <v>1730</v>
      </c>
      <c r="E207" s="14" t="s">
        <v>1592</v>
      </c>
      <c r="F207" s="14" t="s">
        <v>1731</v>
      </c>
      <c r="G207" s="14" t="s">
        <v>1732</v>
      </c>
      <c r="H207" s="14" t="s">
        <v>624</v>
      </c>
      <c r="I207" s="14">
        <v>0</v>
      </c>
      <c r="J207" s="14">
        <v>0</v>
      </c>
      <c r="K207" s="14">
        <v>0</v>
      </c>
    </row>
    <row r="208" spans="1:11">
      <c r="A208" s="16" t="s">
        <v>1589</v>
      </c>
      <c r="B208" s="14" t="s">
        <v>1894</v>
      </c>
      <c r="C208" s="14" t="s">
        <v>1895</v>
      </c>
      <c r="D208" s="14" t="s">
        <v>1730</v>
      </c>
      <c r="E208" s="14" t="s">
        <v>1592</v>
      </c>
      <c r="F208" s="14" t="s">
        <v>1731</v>
      </c>
      <c r="G208" s="14" t="s">
        <v>1732</v>
      </c>
      <c r="H208" s="14" t="s">
        <v>624</v>
      </c>
      <c r="I208" s="14">
        <v>0</v>
      </c>
      <c r="J208" s="14">
        <v>0</v>
      </c>
      <c r="K208" s="14">
        <v>0</v>
      </c>
    </row>
    <row r="209" spans="1:11">
      <c r="A209" s="16" t="s">
        <v>1589</v>
      </c>
      <c r="B209" s="14" t="s">
        <v>1896</v>
      </c>
      <c r="C209" s="14" t="s">
        <v>1897</v>
      </c>
      <c r="D209" s="14" t="s">
        <v>1730</v>
      </c>
      <c r="E209" s="14" t="s">
        <v>1592</v>
      </c>
      <c r="F209" s="14" t="s">
        <v>1731</v>
      </c>
      <c r="G209" s="14" t="s">
        <v>1732</v>
      </c>
      <c r="H209" s="14" t="s">
        <v>624</v>
      </c>
      <c r="I209" s="14">
        <v>0</v>
      </c>
      <c r="J209" s="14">
        <v>0</v>
      </c>
      <c r="K209" s="14">
        <v>0</v>
      </c>
    </row>
    <row r="210" spans="1:11">
      <c r="A210" s="16" t="e">
        <f>VLOOKUP(E210,Table1[[#All],[Campo]],1,0)</f>
        <v>#N/A</v>
      </c>
      <c r="B210" s="14" t="s">
        <v>1898</v>
      </c>
      <c r="C210" s="14" t="s">
        <v>1899</v>
      </c>
      <c r="D210" s="14" t="s">
        <v>1730</v>
      </c>
      <c r="E210" s="14" t="s">
        <v>1598</v>
      </c>
      <c r="F210" s="14" t="s">
        <v>1731</v>
      </c>
      <c r="G210" s="14" t="s">
        <v>1732</v>
      </c>
      <c r="H210" s="14" t="s">
        <v>624</v>
      </c>
      <c r="I210" s="14">
        <v>0</v>
      </c>
      <c r="J210" s="14">
        <v>0</v>
      </c>
      <c r="K210" s="14">
        <v>0</v>
      </c>
    </row>
    <row r="211" spans="1:11">
      <c r="A211" s="16" t="e">
        <f>VLOOKUP(E211,Table1[[#All],[Campo]],1,0)</f>
        <v>#N/A</v>
      </c>
      <c r="B211" s="14" t="s">
        <v>1900</v>
      </c>
      <c r="C211" s="14" t="s">
        <v>1901</v>
      </c>
      <c r="D211" s="14" t="s">
        <v>1730</v>
      </c>
      <c r="E211" s="14" t="s">
        <v>1598</v>
      </c>
      <c r="F211" s="14" t="s">
        <v>1731</v>
      </c>
      <c r="G211" s="14" t="s">
        <v>1732</v>
      </c>
      <c r="H211" s="14" t="s">
        <v>624</v>
      </c>
      <c r="I211" s="14">
        <v>0</v>
      </c>
      <c r="J211" s="14">
        <v>0</v>
      </c>
      <c r="K211" s="14">
        <v>0</v>
      </c>
    </row>
    <row r="212" spans="1:11">
      <c r="A212" s="16" t="e">
        <f>VLOOKUP(E212,Table1[[#All],[Campo]],1,0)</f>
        <v>#N/A</v>
      </c>
      <c r="B212" s="14" t="s">
        <v>1902</v>
      </c>
      <c r="C212" s="14" t="s">
        <v>1903</v>
      </c>
      <c r="D212" s="14" t="s">
        <v>1730</v>
      </c>
      <c r="E212" s="14" t="s">
        <v>1601</v>
      </c>
      <c r="F212" s="14" t="s">
        <v>1731</v>
      </c>
      <c r="G212" s="14" t="s">
        <v>1732</v>
      </c>
      <c r="H212" s="14" t="s">
        <v>624</v>
      </c>
      <c r="I212" s="14">
        <v>0</v>
      </c>
      <c r="J212" s="14">
        <v>0</v>
      </c>
      <c r="K212" s="14">
        <v>0</v>
      </c>
    </row>
    <row r="213" spans="1:11">
      <c r="A213" s="16" t="str">
        <f>VLOOKUP(E213,Table1[[#All],[Campo]],1,0)</f>
        <v>cod_soc</v>
      </c>
      <c r="B213" s="14" t="s">
        <v>1904</v>
      </c>
      <c r="C213" s="14" t="s">
        <v>1905</v>
      </c>
      <c r="D213" s="14" t="s">
        <v>1476</v>
      </c>
      <c r="E213" s="14" t="s">
        <v>1400</v>
      </c>
      <c r="F213" s="14" t="s">
        <v>1906</v>
      </c>
      <c r="G213" s="14" t="s">
        <v>1907</v>
      </c>
      <c r="H213" s="14" t="s">
        <v>624</v>
      </c>
      <c r="I213" s="14">
        <v>1096295</v>
      </c>
      <c r="J213" s="14">
        <v>0</v>
      </c>
      <c r="K213" s="14">
        <v>0</v>
      </c>
    </row>
    <row r="214" spans="1:11">
      <c r="A214" s="16" t="str">
        <f>VLOOKUP(E214,Table1[[#All],[Campo]],1,0)</f>
        <v>dt_rfrnc</v>
      </c>
      <c r="B214" s="14" t="s">
        <v>1908</v>
      </c>
      <c r="C214" s="14" t="s">
        <v>1909</v>
      </c>
      <c r="D214" s="14" t="s">
        <v>1476</v>
      </c>
      <c r="E214" s="14" t="s">
        <v>1405</v>
      </c>
      <c r="F214" s="14" t="s">
        <v>1906</v>
      </c>
      <c r="G214" s="14" t="s">
        <v>1907</v>
      </c>
      <c r="H214" s="14" t="s">
        <v>624</v>
      </c>
      <c r="I214" s="14">
        <v>1096295</v>
      </c>
      <c r="J214" s="14">
        <v>0</v>
      </c>
      <c r="K214" s="14">
        <v>0</v>
      </c>
    </row>
    <row r="215" spans="1:11">
      <c r="A215" s="16" t="str">
        <f>VLOOKUP(E215,Table1[[#All],[Campo]],1,0)</f>
        <v>cod_soc</v>
      </c>
      <c r="B215" s="14" t="s">
        <v>1910</v>
      </c>
      <c r="C215" s="14" t="s">
        <v>1911</v>
      </c>
      <c r="D215" s="14" t="s">
        <v>1483</v>
      </c>
      <c r="E215" s="14" t="s">
        <v>1400</v>
      </c>
      <c r="F215" s="14" t="s">
        <v>1906</v>
      </c>
      <c r="G215" s="14" t="s">
        <v>1912</v>
      </c>
      <c r="H215" s="14" t="s">
        <v>624</v>
      </c>
      <c r="I215" s="14">
        <v>2490665</v>
      </c>
      <c r="J215" s="14">
        <v>0</v>
      </c>
      <c r="K215" s="14">
        <v>0</v>
      </c>
    </row>
    <row r="216" spans="1:11">
      <c r="A216" s="16" t="str">
        <f>VLOOKUP(E216,Table1[[#All],[Campo]],1,0)</f>
        <v>dt_rfrnc</v>
      </c>
      <c r="B216" s="14" t="s">
        <v>1913</v>
      </c>
      <c r="C216" s="14" t="s">
        <v>1914</v>
      </c>
      <c r="D216" s="14" t="s">
        <v>1483</v>
      </c>
      <c r="E216" s="14" t="s">
        <v>1405</v>
      </c>
      <c r="F216" s="14" t="s">
        <v>1906</v>
      </c>
      <c r="G216" s="14" t="s">
        <v>1912</v>
      </c>
      <c r="H216" s="14" t="s">
        <v>624</v>
      </c>
      <c r="I216" s="14">
        <v>2490665</v>
      </c>
      <c r="J216" s="14">
        <v>0</v>
      </c>
      <c r="K216" s="14">
        <v>0</v>
      </c>
    </row>
    <row r="217" spans="1:11">
      <c r="A217" s="16" t="str">
        <f>VLOOKUP(E217,Table1[[#All],[Campo]],1,0)</f>
        <v>cod_soc</v>
      </c>
      <c r="B217" s="14" t="s">
        <v>1915</v>
      </c>
      <c r="C217" s="14" t="s">
        <v>1916</v>
      </c>
      <c r="D217" s="14" t="s">
        <v>1422</v>
      </c>
      <c r="E217" s="14" t="s">
        <v>1400</v>
      </c>
      <c r="F217" s="14" t="s">
        <v>1906</v>
      </c>
      <c r="G217" s="14" t="s">
        <v>1917</v>
      </c>
      <c r="H217" s="14" t="s">
        <v>624</v>
      </c>
      <c r="I217" s="14">
        <v>2003033</v>
      </c>
      <c r="J217" s="14">
        <v>0</v>
      </c>
      <c r="K217" s="14">
        <v>0</v>
      </c>
    </row>
    <row r="218" spans="1:11">
      <c r="A218" s="16" t="str">
        <f>VLOOKUP(E218,Table1[[#All],[Campo]],1,0)</f>
        <v>dt_rfrnc</v>
      </c>
      <c r="B218" s="14" t="s">
        <v>1918</v>
      </c>
      <c r="C218" s="14" t="s">
        <v>1919</v>
      </c>
      <c r="D218" s="14" t="s">
        <v>1422</v>
      </c>
      <c r="E218" s="14" t="s">
        <v>1405</v>
      </c>
      <c r="F218" s="14" t="s">
        <v>1906</v>
      </c>
      <c r="G218" s="14" t="s">
        <v>1917</v>
      </c>
      <c r="H218" s="14" t="s">
        <v>624</v>
      </c>
      <c r="I218" s="14">
        <v>2003033</v>
      </c>
      <c r="J218" s="14">
        <v>0</v>
      </c>
      <c r="K218" s="14">
        <v>0</v>
      </c>
    </row>
    <row r="219" spans="1:11">
      <c r="A219" s="16" t="str">
        <f>VLOOKUP(E219,Table1[[#All],[Campo]],1,0)</f>
        <v>cod_soc</v>
      </c>
      <c r="B219" s="14" t="s">
        <v>1920</v>
      </c>
      <c r="C219" s="14" t="s">
        <v>1921</v>
      </c>
      <c r="D219" s="14" t="s">
        <v>1473</v>
      </c>
      <c r="E219" s="14" t="s">
        <v>1400</v>
      </c>
      <c r="F219" s="14" t="s">
        <v>1906</v>
      </c>
      <c r="G219" s="14" t="s">
        <v>1922</v>
      </c>
      <c r="H219" s="14" t="s">
        <v>624</v>
      </c>
      <c r="I219" s="14">
        <v>731165</v>
      </c>
      <c r="J219" s="14">
        <v>0</v>
      </c>
      <c r="K219" s="14">
        <v>0</v>
      </c>
    </row>
    <row r="220" spans="1:11">
      <c r="A220" s="16" t="str">
        <f>VLOOKUP(E220,Table1[[#All],[Campo]],1,0)</f>
        <v>dt_rfrnc</v>
      </c>
      <c r="B220" s="14" t="s">
        <v>1923</v>
      </c>
      <c r="C220" s="14" t="s">
        <v>1924</v>
      </c>
      <c r="D220" s="14" t="s">
        <v>1473</v>
      </c>
      <c r="E220" s="14" t="s">
        <v>1405</v>
      </c>
      <c r="F220" s="14" t="s">
        <v>1906</v>
      </c>
      <c r="G220" s="14" t="s">
        <v>1922</v>
      </c>
      <c r="H220" s="14" t="s">
        <v>624</v>
      </c>
      <c r="I220" s="14">
        <v>731165</v>
      </c>
      <c r="J220" s="14">
        <v>0</v>
      </c>
      <c r="K220" s="14">
        <v>0</v>
      </c>
    </row>
    <row r="221" spans="1:11">
      <c r="A221" s="16" t="str">
        <f>VLOOKUP(E221,Table1[[#All],[Campo]],1,0)</f>
        <v>cod_soc</v>
      </c>
      <c r="B221" s="14" t="s">
        <v>1925</v>
      </c>
      <c r="C221" s="14" t="s">
        <v>1926</v>
      </c>
      <c r="D221" s="14" t="s">
        <v>1638</v>
      </c>
      <c r="E221" s="14" t="s">
        <v>1400</v>
      </c>
      <c r="F221" s="14" t="s">
        <v>1906</v>
      </c>
      <c r="G221" s="14" t="s">
        <v>1927</v>
      </c>
      <c r="H221" s="14" t="s">
        <v>624</v>
      </c>
      <c r="I221" s="14">
        <v>456960</v>
      </c>
      <c r="J221" s="14">
        <v>0</v>
      </c>
      <c r="K221" s="14">
        <v>0</v>
      </c>
    </row>
    <row r="222" spans="1:11">
      <c r="A222" s="16" t="str">
        <f>VLOOKUP(E222,Table1[[#All],[Campo]],1,0)</f>
        <v>dt_rfrnc</v>
      </c>
      <c r="B222" s="14" t="s">
        <v>1928</v>
      </c>
      <c r="C222" s="14" t="s">
        <v>1929</v>
      </c>
      <c r="D222" s="14" t="s">
        <v>1638</v>
      </c>
      <c r="E222" s="14" t="s">
        <v>1405</v>
      </c>
      <c r="F222" s="14" t="s">
        <v>1906</v>
      </c>
      <c r="G222" s="14" t="s">
        <v>1927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1930</v>
      </c>
    </row>
    <row r="3" spans="2:10" ht="17.399999999999999">
      <c r="B3" s="17" t="s">
        <v>1931</v>
      </c>
      <c r="D3" t="s">
        <v>1252</v>
      </c>
    </row>
    <row r="4" spans="2:10" ht="17.399999999999999">
      <c r="B4" s="53" t="s">
        <v>1932</v>
      </c>
      <c r="C4" s="53" t="s">
        <v>1933</v>
      </c>
      <c r="D4" s="52" t="s">
        <v>1273</v>
      </c>
      <c r="E4" s="52" t="s">
        <v>1274</v>
      </c>
      <c r="F4" s="52" t="s">
        <v>1265</v>
      </c>
      <c r="H4" s="31" t="s">
        <v>1273</v>
      </c>
      <c r="I4" s="31" t="s">
        <v>1274</v>
      </c>
      <c r="J4" s="31" t="s">
        <v>1265</v>
      </c>
    </row>
    <row r="5" spans="2:10" ht="34.799999999999997">
      <c r="B5" s="2" t="s">
        <v>1263</v>
      </c>
      <c r="C5" s="4" t="s">
        <v>1934</v>
      </c>
      <c r="D5">
        <v>8</v>
      </c>
      <c r="E5">
        <v>8</v>
      </c>
      <c r="F5">
        <v>8</v>
      </c>
      <c r="H5" s="31">
        <v>1</v>
      </c>
      <c r="I5" s="31">
        <v>3</v>
      </c>
      <c r="J5" s="31">
        <v>8</v>
      </c>
    </row>
    <row r="6" spans="2:10" ht="34.799999999999997">
      <c r="B6" s="2" t="s">
        <v>1266</v>
      </c>
      <c r="C6" s="4" t="s">
        <v>1935</v>
      </c>
      <c r="D6">
        <v>2</v>
      </c>
      <c r="E6">
        <v>4</v>
      </c>
      <c r="F6">
        <v>8</v>
      </c>
      <c r="H6" s="31">
        <v>1</v>
      </c>
      <c r="I6" s="31">
        <v>3</v>
      </c>
      <c r="J6" s="31">
        <v>4</v>
      </c>
    </row>
    <row r="7" spans="2:10" ht="17.399999999999999">
      <c r="B7" s="2" t="s">
        <v>1267</v>
      </c>
      <c r="C7" s="4" t="s">
        <v>1936</v>
      </c>
      <c r="D7">
        <v>2</v>
      </c>
      <c r="E7">
        <v>4</v>
      </c>
      <c r="F7">
        <v>8</v>
      </c>
      <c r="H7" s="31">
        <v>1</v>
      </c>
      <c r="I7" s="31">
        <v>1</v>
      </c>
      <c r="J7" s="31">
        <v>2</v>
      </c>
    </row>
    <row r="8" spans="2:10" ht="17.399999999999999">
      <c r="B8" s="28" t="s">
        <v>1268</v>
      </c>
      <c r="C8" s="4" t="s">
        <v>1937</v>
      </c>
      <c r="D8">
        <v>2</v>
      </c>
      <c r="E8">
        <v>4</v>
      </c>
      <c r="F8">
        <v>8</v>
      </c>
      <c r="H8" s="31">
        <v>2</v>
      </c>
      <c r="I8" s="31">
        <v>4</v>
      </c>
      <c r="J8" s="31">
        <v>4</v>
      </c>
    </row>
    <row r="9" spans="2:10" ht="17.399999999999999">
      <c r="B9" s="29" t="s">
        <v>1271</v>
      </c>
      <c r="C9" s="4" t="s">
        <v>1938</v>
      </c>
      <c r="D9">
        <v>1</v>
      </c>
      <c r="E9">
        <v>1</v>
      </c>
      <c r="F9">
        <v>1</v>
      </c>
      <c r="H9" s="31"/>
      <c r="I9" s="31"/>
      <c r="J9" s="31"/>
    </row>
    <row r="10" spans="2:10" ht="52.2">
      <c r="B10" s="2" t="s">
        <v>1269</v>
      </c>
      <c r="C10" s="4" t="s">
        <v>1939</v>
      </c>
      <c r="D10">
        <v>0.1</v>
      </c>
      <c r="E10">
        <v>0.1</v>
      </c>
      <c r="F10">
        <v>0.1</v>
      </c>
      <c r="H10" s="31">
        <v>0.1</v>
      </c>
      <c r="I10" s="31">
        <v>0.5</v>
      </c>
      <c r="J10" s="31">
        <v>0.5</v>
      </c>
    </row>
    <row r="11" spans="2:10" ht="17.399999999999999">
      <c r="B11" s="29" t="s">
        <v>1270</v>
      </c>
      <c r="C11" s="4" t="s">
        <v>1940</v>
      </c>
      <c r="D11">
        <v>1</v>
      </c>
      <c r="E11">
        <v>2</v>
      </c>
      <c r="F11">
        <v>2</v>
      </c>
      <c r="H11" s="31"/>
      <c r="I11" s="31"/>
      <c r="J11" s="31"/>
    </row>
    <row r="12" spans="2:10" ht="17.399999999999999">
      <c r="B12" s="29" t="s">
        <v>1314</v>
      </c>
      <c r="C12" s="4" t="s">
        <v>1941</v>
      </c>
      <c r="D12">
        <v>0.5</v>
      </c>
      <c r="E12">
        <v>0.5</v>
      </c>
      <c r="F12">
        <v>0.5</v>
      </c>
      <c r="H12" s="31">
        <v>0.5</v>
      </c>
      <c r="I12" s="31">
        <v>0.5</v>
      </c>
      <c r="J12" s="31">
        <v>0.5</v>
      </c>
    </row>
    <row r="13" spans="2:10" ht="34.799999999999997">
      <c r="B13" s="34" t="s">
        <v>1277</v>
      </c>
      <c r="C13" s="4" t="s">
        <v>1942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1943</v>
      </c>
      <c r="B17" s="18" t="s">
        <v>615</v>
      </c>
      <c r="C17">
        <v>4</v>
      </c>
      <c r="D17" s="96">
        <v>0.25</v>
      </c>
    </row>
    <row r="18" spans="1:4" ht="17.399999999999999">
      <c r="B18" s="24" t="s">
        <v>28</v>
      </c>
      <c r="C18">
        <v>8</v>
      </c>
      <c r="D18" s="96">
        <v>0</v>
      </c>
    </row>
    <row r="19" spans="1:4" ht="17.399999999999999">
      <c r="B19" s="1" t="s">
        <v>1947</v>
      </c>
      <c r="C19">
        <f t="shared" ref="C19:C24" si="0">_xlfn.NUMBERVALUE(LEFT(B19,1))</f>
        <v>2</v>
      </c>
      <c r="D19" s="96">
        <v>0.5</v>
      </c>
    </row>
    <row r="20" spans="1:4" ht="17.399999999999999">
      <c r="B20" s="1" t="s">
        <v>1948</v>
      </c>
      <c r="C20">
        <v>3</v>
      </c>
      <c r="D20" s="96">
        <v>0.5</v>
      </c>
    </row>
    <row r="21" spans="1:4" ht="17.399999999999999">
      <c r="A21" t="s">
        <v>1944</v>
      </c>
      <c r="B21" s="25" t="s">
        <v>616</v>
      </c>
      <c r="C21">
        <v>5</v>
      </c>
      <c r="D21" s="96">
        <v>0.25</v>
      </c>
    </row>
    <row r="22" spans="1:4" ht="17.399999999999999">
      <c r="A22" t="s">
        <v>1945</v>
      </c>
      <c r="B22" s="19" t="s">
        <v>617</v>
      </c>
      <c r="C22">
        <v>6</v>
      </c>
      <c r="D22" s="96">
        <v>0.25</v>
      </c>
    </row>
    <row r="23" spans="1:4" ht="17.399999999999999">
      <c r="A23" t="s">
        <v>1945</v>
      </c>
      <c r="B23" s="19" t="s">
        <v>619</v>
      </c>
      <c r="C23">
        <v>7</v>
      </c>
      <c r="D23" s="96">
        <v>0.25</v>
      </c>
    </row>
    <row r="24" spans="1:4" ht="17.399999999999999">
      <c r="A24" t="s">
        <v>1946</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75D68E10-1E8A-4234-9B11-302E5091619B}"/>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http://purl.org/dc/dcmitype/"/>
    <ds:schemaRef ds:uri="http://schemas.microsoft.com/office/2006/metadata/properties"/>
    <ds:schemaRef ds:uri="http://www.w3.org/XML/1998/namespace"/>
    <ds:schemaRef ds:uri="http://purl.org/dc/terms/"/>
    <ds:schemaRef ds:uri="http://purl.org/dc/elements/1.1/"/>
    <ds:schemaRef ds:uri="http://schemas.microsoft.com/sharepoint/v3"/>
    <ds:schemaRef ds:uri="http://schemas.microsoft.com/office/2006/documentManagement/types"/>
    <ds:schemaRef ds:uri="http://schemas.openxmlformats.org/package/2006/metadata/core-properties"/>
    <ds:schemaRef ds:uri="6ea7b29d-57ec-408d-9ea9-cf73b04f66d5"/>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2024-10-29T11:21:28Z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